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teryx\alteryx_workflows\dvm_dl1_alteryx\Month_End\"/>
    </mc:Choice>
  </mc:AlternateContent>
  <bookViews>
    <workbookView xWindow="0" yWindow="0" windowWidth="28800" windowHeight="11565" tabRatio="601" activeTab="1"/>
  </bookViews>
  <sheets>
    <sheet name="Missing Transactions" sheetId="1" r:id="rId1"/>
    <sheet name="Voided Transactions" sheetId="2" r:id="rId2"/>
    <sheet name="2016 Summary" sheetId="5" r:id="rId3"/>
    <sheet name="2017 Summary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G573" i="2" l="1"/>
  <c r="G572" i="2"/>
  <c r="G571" i="2"/>
  <c r="G569" i="2"/>
  <c r="G157" i="1"/>
  <c r="G156" i="1"/>
  <c r="G155" i="1"/>
  <c r="G154" i="1"/>
  <c r="G153" i="1"/>
  <c r="G151" i="1"/>
  <c r="G2308" i="4"/>
  <c r="G2307" i="4"/>
  <c r="G2306" i="4"/>
  <c r="G2304" i="4"/>
  <c r="G2298" i="4"/>
  <c r="G2297" i="4"/>
  <c r="G2296" i="4"/>
  <c r="G2295" i="4"/>
  <c r="G2294" i="4"/>
  <c r="G2292" i="4"/>
  <c r="G2269" i="4" l="1"/>
  <c r="G2251" i="4" l="1"/>
  <c r="G2252" i="4"/>
  <c r="G129" i="1" l="1"/>
  <c r="G2256" i="4" l="1"/>
  <c r="G2255" i="4"/>
  <c r="G2254" i="4"/>
  <c r="G2253" i="4"/>
  <c r="G2232" i="4" l="1"/>
  <c r="G568" i="2" l="1"/>
  <c r="G567" i="2"/>
  <c r="G566" i="2"/>
  <c r="G2215" i="4"/>
  <c r="G2214" i="4"/>
  <c r="G2213" i="4"/>
  <c r="G565" i="2" l="1"/>
  <c r="G564" i="2"/>
  <c r="G563" i="2"/>
  <c r="G562" i="2"/>
  <c r="G561" i="2"/>
  <c r="G560" i="2"/>
  <c r="G559" i="2"/>
  <c r="G558" i="2"/>
  <c r="G557" i="2"/>
  <c r="G2198" i="4"/>
  <c r="G2197" i="4"/>
  <c r="G2196" i="4"/>
  <c r="G2195" i="4"/>
  <c r="G2194" i="4"/>
  <c r="G2193" i="4"/>
  <c r="G2192" i="4"/>
  <c r="G2191" i="4"/>
  <c r="G2190" i="4"/>
  <c r="G2085" i="4"/>
  <c r="G2145" i="4"/>
  <c r="G2172" i="4"/>
  <c r="G2144" i="4"/>
  <c r="G2187" i="4"/>
  <c r="G556" i="2" l="1"/>
  <c r="G555" i="2"/>
  <c r="G554" i="2"/>
  <c r="G553" i="2"/>
  <c r="G552" i="2"/>
  <c r="G551" i="2"/>
  <c r="G550" i="2"/>
  <c r="G2079" i="4"/>
  <c r="G2078" i="4"/>
  <c r="G2077" i="4"/>
  <c r="G2076" i="4"/>
  <c r="G2075" i="4"/>
  <c r="G2074" i="4"/>
  <c r="G2073" i="4"/>
  <c r="G549" i="2" l="1"/>
  <c r="G548" i="2"/>
  <c r="G547" i="2"/>
  <c r="G546" i="2"/>
  <c r="G545" i="2"/>
  <c r="G544" i="2"/>
  <c r="G2065" i="4"/>
  <c r="G2064" i="4"/>
  <c r="G2063" i="4"/>
  <c r="G2062" i="4"/>
  <c r="G2061" i="4"/>
  <c r="G2060" i="4"/>
  <c r="G543" i="2" l="1"/>
  <c r="G542" i="2"/>
  <c r="G541" i="2"/>
  <c r="G540" i="2"/>
  <c r="G539" i="2"/>
  <c r="G2054" i="4"/>
  <c r="G2053" i="4"/>
  <c r="G2052" i="4"/>
  <c r="G2051" i="4"/>
  <c r="G2050" i="4"/>
  <c r="G538" i="2" l="1"/>
  <c r="G537" i="2"/>
  <c r="G536" i="2"/>
  <c r="G535" i="2"/>
  <c r="G534" i="2"/>
  <c r="G533" i="2"/>
  <c r="G2043" i="4"/>
  <c r="G2042" i="4"/>
  <c r="G2041" i="4"/>
  <c r="G2040" i="4"/>
  <c r="G2039" i="4"/>
  <c r="G2038" i="4"/>
  <c r="G532" i="2" l="1"/>
  <c r="G531" i="2"/>
  <c r="G530" i="2"/>
  <c r="G529" i="2"/>
  <c r="G528" i="2"/>
  <c r="G527" i="2"/>
  <c r="G526" i="2"/>
  <c r="G2020" i="4" l="1"/>
  <c r="G2019" i="4"/>
  <c r="G2018" i="4"/>
  <c r="G2017" i="4"/>
  <c r="G2016" i="4"/>
  <c r="G2015" i="4"/>
  <c r="G2014" i="4"/>
  <c r="G1959" i="4" l="1"/>
  <c r="G1941" i="4" l="1"/>
  <c r="G525" i="2"/>
  <c r="G515" i="2"/>
  <c r="G514" i="2"/>
  <c r="G513" i="2"/>
  <c r="G512" i="2"/>
  <c r="G511" i="2"/>
  <c r="G1931" i="4"/>
  <c r="G1930" i="4"/>
  <c r="G1929" i="4"/>
  <c r="G1928" i="4"/>
  <c r="G1927" i="4"/>
  <c r="G1901" i="4"/>
  <c r="G510" i="2" l="1"/>
  <c r="G509" i="2"/>
  <c r="G1872" i="4"/>
  <c r="G1871" i="4"/>
  <c r="G1801" i="4" l="1"/>
  <c r="G508" i="2"/>
  <c r="G507" i="2" l="1"/>
  <c r="G506" i="2"/>
  <c r="G505" i="2"/>
  <c r="G1787" i="4"/>
  <c r="G1786" i="4"/>
  <c r="G1785" i="4"/>
  <c r="G1784" i="4"/>
  <c r="G504" i="2" l="1"/>
  <c r="G503" i="2"/>
  <c r="G502" i="2"/>
  <c r="G501" i="2"/>
  <c r="G500" i="2"/>
  <c r="G499" i="2"/>
  <c r="G498" i="2"/>
  <c r="G497" i="2"/>
  <c r="G496" i="2"/>
  <c r="G495" i="2"/>
  <c r="G494" i="2"/>
  <c r="G492" i="2"/>
  <c r="G1764" i="4"/>
  <c r="G1763" i="4"/>
  <c r="G1762" i="4"/>
  <c r="G1761" i="4"/>
  <c r="G1760" i="4"/>
  <c r="G1759" i="4"/>
  <c r="G1758" i="4"/>
  <c r="G1757" i="4"/>
  <c r="G1756" i="4"/>
  <c r="G1755" i="4"/>
  <c r="G1754" i="4"/>
  <c r="G1752" i="4"/>
  <c r="G490" i="2" l="1"/>
  <c r="G1729" i="4" l="1"/>
  <c r="G1567" i="4" l="1"/>
  <c r="G485" i="2" l="1"/>
  <c r="G484" i="2"/>
  <c r="G483" i="2"/>
  <c r="G482" i="2"/>
  <c r="G481" i="2"/>
  <c r="G1706" i="4"/>
  <c r="G1705" i="4"/>
  <c r="G1704" i="4"/>
  <c r="G1703" i="4"/>
  <c r="G1702" i="4"/>
  <c r="G1698" i="4"/>
  <c r="G1692" i="4"/>
  <c r="G474" i="2" l="1"/>
  <c r="G1669" i="4"/>
  <c r="G1569" i="4" l="1"/>
  <c r="G1612" i="4"/>
  <c r="G1613" i="4"/>
  <c r="G1641" i="4"/>
  <c r="G1592" i="4"/>
  <c r="G1645" i="4"/>
  <c r="G1598" i="4"/>
  <c r="G1544" i="4" l="1"/>
  <c r="G466" i="2" l="1"/>
  <c r="G1488" i="4"/>
  <c r="G1415" i="4" l="1"/>
  <c r="G461" i="2" l="1"/>
  <c r="G460" i="2"/>
  <c r="G1387" i="4"/>
  <c r="G1386" i="4"/>
  <c r="G1329" i="4"/>
  <c r="G1172" i="4" l="1"/>
  <c r="G446" i="2"/>
  <c r="G445" i="2"/>
  <c r="G1221" i="4"/>
  <c r="G1220" i="4"/>
  <c r="G1219" i="4"/>
  <c r="G1218" i="4"/>
  <c r="G1217" i="4"/>
  <c r="G1216" i="4"/>
  <c r="G1177" i="4"/>
  <c r="G1202" i="4"/>
  <c r="G428" i="2" l="1"/>
  <c r="G1015" i="4"/>
  <c r="G420" i="2" l="1"/>
  <c r="G1007" i="4"/>
  <c r="G419" i="2" l="1"/>
  <c r="G413" i="2"/>
  <c r="G985" i="4"/>
  <c r="G962" i="4"/>
  <c r="G956" i="4"/>
  <c r="G955" i="4" l="1"/>
  <c r="G954" i="4"/>
  <c r="G953" i="4"/>
  <c r="G952" i="4"/>
  <c r="G951" i="4"/>
  <c r="G950" i="4"/>
  <c r="G407" i="2" l="1"/>
  <c r="G897" i="4"/>
  <c r="G896" i="4"/>
  <c r="G895" i="4"/>
  <c r="G894" i="4"/>
  <c r="G893" i="4"/>
  <c r="G892" i="4"/>
  <c r="G891" i="4"/>
  <c r="G890" i="4"/>
  <c r="G825" i="4" l="1"/>
  <c r="G824" i="4"/>
  <c r="G823" i="4"/>
  <c r="G822" i="4"/>
  <c r="G821" i="4"/>
  <c r="G820" i="4"/>
  <c r="G819" i="4"/>
  <c r="G818" i="4"/>
  <c r="G817" i="4"/>
  <c r="G396" i="2" l="1"/>
  <c r="G395" i="2"/>
  <c r="G748" i="4"/>
  <c r="G747" i="4"/>
  <c r="G746" i="4"/>
  <c r="G744" i="4"/>
  <c r="G743" i="4"/>
  <c r="G739" i="4" l="1"/>
  <c r="G738" i="4"/>
  <c r="G737" i="4"/>
  <c r="G736" i="4"/>
  <c r="G735" i="4"/>
  <c r="G734" i="4"/>
  <c r="G733" i="4"/>
  <c r="G729" i="4"/>
  <c r="G728" i="4"/>
  <c r="G391" i="2"/>
  <c r="G387" i="2"/>
  <c r="G386" i="2"/>
  <c r="G360" i="2" l="1"/>
  <c r="G362" i="2"/>
  <c r="G606" i="4"/>
  <c r="G604" i="4"/>
  <c r="G679" i="4" l="1"/>
  <c r="G671" i="4"/>
  <c r="G669" i="4" l="1"/>
  <c r="G668" i="4"/>
  <c r="G667" i="4"/>
  <c r="G385" i="2"/>
  <c r="G377" i="2"/>
  <c r="G670" i="4"/>
  <c r="G666" i="4"/>
  <c r="G665" i="4"/>
  <c r="G376" i="2"/>
  <c r="G660" i="4" l="1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29" i="4"/>
  <c r="G371" i="2"/>
  <c r="G367" i="2" l="1"/>
  <c r="G628" i="4" l="1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03" i="4"/>
  <c r="G602" i="4"/>
  <c r="G601" i="4"/>
  <c r="G600" i="4"/>
  <c r="G599" i="4"/>
  <c r="G598" i="4"/>
  <c r="G597" i="4"/>
  <c r="G596" i="4"/>
  <c r="G595" i="4" l="1"/>
  <c r="G594" i="4"/>
  <c r="G593" i="4"/>
  <c r="G592" i="4"/>
  <c r="G591" i="4"/>
  <c r="G590" i="4"/>
  <c r="G589" i="4"/>
  <c r="G588" i="4"/>
  <c r="G587" i="4"/>
  <c r="G586" i="4"/>
  <c r="G457" i="4" l="1"/>
  <c r="G456" i="4"/>
  <c r="G455" i="4"/>
  <c r="G454" i="4"/>
  <c r="G453" i="4"/>
  <c r="G452" i="4"/>
  <c r="G451" i="4"/>
  <c r="G450" i="4"/>
  <c r="G449" i="4"/>
  <c r="G448" i="4"/>
  <c r="G447" i="4"/>
  <c r="G442" i="4"/>
  <c r="G441" i="4"/>
  <c r="G440" i="4"/>
  <c r="G439" i="4"/>
  <c r="G438" i="4"/>
  <c r="G437" i="4"/>
  <c r="G436" i="4"/>
  <c r="G435" i="4"/>
  <c r="G434" i="4"/>
  <c r="G433" i="4"/>
  <c r="G432" i="4"/>
  <c r="G422" i="4"/>
  <c r="G421" i="4"/>
  <c r="G420" i="4"/>
  <c r="G419" i="4"/>
  <c r="G418" i="4"/>
  <c r="G417" i="4"/>
  <c r="G416" i="4"/>
  <c r="G415" i="4"/>
  <c r="G414" i="4"/>
  <c r="G413" i="4"/>
  <c r="G355" i="2" l="1"/>
  <c r="G354" i="2"/>
  <c r="G344" i="2"/>
  <c r="G343" i="2" l="1"/>
  <c r="G367" i="4"/>
  <c r="G366" i="4"/>
  <c r="G365" i="4"/>
  <c r="G364" i="4"/>
  <c r="G363" i="4"/>
  <c r="G362" i="4"/>
  <c r="G361" i="4"/>
  <c r="G360" i="4"/>
  <c r="G359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1" i="4" l="1"/>
  <c r="G338" i="2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1" i="4"/>
  <c r="G300" i="4"/>
  <c r="G337" i="2"/>
  <c r="G336" i="2"/>
  <c r="G335" i="2"/>
  <c r="G334" i="2"/>
  <c r="G333" i="2"/>
  <c r="G332" i="2"/>
  <c r="G331" i="2"/>
  <c r="G330" i="2"/>
  <c r="G329" i="2"/>
  <c r="G328" i="2"/>
  <c r="G327" i="2"/>
  <c r="G299" i="4"/>
  <c r="G298" i="4"/>
  <c r="G320" i="2"/>
  <c r="G319" i="2"/>
  <c r="G288" i="4" l="1"/>
  <c r="G287" i="4" l="1"/>
  <c r="G286" i="4"/>
  <c r="G285" i="4"/>
  <c r="G284" i="4"/>
  <c r="G283" i="4"/>
  <c r="G282" i="4"/>
  <c r="G278" i="4"/>
  <c r="G277" i="4"/>
  <c r="G276" i="4"/>
  <c r="G275" i="4"/>
  <c r="G274" i="4"/>
  <c r="G273" i="4"/>
  <c r="G272" i="4"/>
  <c r="G271" i="4"/>
  <c r="G318" i="2"/>
  <c r="G317" i="2"/>
  <c r="G316" i="2"/>
  <c r="G315" i="2"/>
  <c r="G314" i="2"/>
  <c r="G313" i="2"/>
  <c r="G309" i="2"/>
  <c r="G308" i="2"/>
  <c r="G256" i="4" l="1"/>
  <c r="G255" i="4"/>
  <c r="G254" i="4"/>
  <c r="G253" i="4"/>
  <c r="G252" i="4"/>
  <c r="G251" i="4"/>
  <c r="G250" i="4"/>
  <c r="G249" i="4"/>
  <c r="G248" i="4"/>
  <c r="G247" i="4"/>
  <c r="G240" i="4"/>
  <c r="G307" i="2"/>
  <c r="G239" i="4" l="1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300" i="2"/>
  <c r="G163" i="4" l="1"/>
  <c r="G162" i="4"/>
  <c r="G161" i="4"/>
  <c r="G159" i="4"/>
  <c r="G158" i="4"/>
  <c r="G157" i="4"/>
  <c r="G156" i="4"/>
  <c r="G155" i="4"/>
  <c r="G154" i="4"/>
  <c r="G153" i="4"/>
  <c r="G152" i="4"/>
  <c r="G150" i="4"/>
  <c r="G149" i="4"/>
  <c r="G148" i="4"/>
  <c r="G147" i="4"/>
  <c r="G146" i="4"/>
  <c r="G145" i="4"/>
  <c r="G144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83" i="4"/>
  <c r="G82" i="4"/>
  <c r="G81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1958" i="5"/>
  <c r="G1957" i="5"/>
  <c r="G1956" i="5"/>
  <c r="G1955" i="5"/>
  <c r="G1954" i="5"/>
  <c r="G1953" i="5"/>
  <c r="G1952" i="5"/>
  <c r="G1951" i="5"/>
  <c r="G1950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6" i="5"/>
  <c r="G1925" i="5"/>
  <c r="G1924" i="5"/>
  <c r="G1923" i="5"/>
  <c r="G1922" i="5"/>
  <c r="G1921" i="5"/>
  <c r="G1920" i="5"/>
  <c r="G1919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879" i="5" l="1"/>
  <c r="G1878" i="5"/>
  <c r="G1866" i="5"/>
  <c r="G1842" i="5"/>
  <c r="G1841" i="5"/>
  <c r="G1840" i="5"/>
  <c r="G1839" i="5"/>
  <c r="G1794" i="5"/>
  <c r="G1793" i="5"/>
  <c r="G1792" i="5"/>
  <c r="G1791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50" i="5"/>
  <c r="G1749" i="5"/>
  <c r="G1748" i="5"/>
  <c r="G1747" i="5"/>
  <c r="G1746" i="5"/>
  <c r="G1745" i="5"/>
  <c r="G1744" i="5"/>
  <c r="G1743" i="5"/>
  <c r="G1742" i="5"/>
  <c r="G1741" i="5"/>
  <c r="G1724" i="5"/>
  <c r="G1723" i="5"/>
  <c r="G1722" i="5"/>
  <c r="G1721" i="5"/>
  <c r="G1720" i="5"/>
  <c r="G1719" i="5"/>
  <c r="G1718" i="5"/>
  <c r="G1717" i="5"/>
  <c r="G1716" i="5"/>
  <c r="G1715" i="5"/>
  <c r="G1647" i="5"/>
  <c r="G1646" i="5"/>
  <c r="G1645" i="5"/>
  <c r="G1644" i="5"/>
  <c r="G1643" i="5"/>
  <c r="G1642" i="5"/>
  <c r="G1641" i="5"/>
  <c r="G1640" i="5"/>
  <c r="G1639" i="5"/>
  <c r="G1638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48" i="5"/>
  <c r="G1547" i="5"/>
  <c r="G1546" i="5"/>
  <c r="G1545" i="5"/>
  <c r="G1544" i="5"/>
  <c r="G1543" i="5"/>
  <c r="G1529" i="5"/>
  <c r="G1528" i="5"/>
  <c r="G1527" i="5"/>
  <c r="G1526" i="5"/>
  <c r="G1525" i="5"/>
  <c r="G1524" i="5"/>
  <c r="G1523" i="5"/>
  <c r="G1509" i="5"/>
  <c r="G1508" i="5"/>
  <c r="G1507" i="5"/>
  <c r="G1504" i="5"/>
  <c r="G1489" i="5"/>
  <c r="G1488" i="5"/>
  <c r="G1487" i="5"/>
  <c r="G1486" i="5"/>
  <c r="G1485" i="5"/>
  <c r="G1484" i="5"/>
  <c r="G1483" i="5"/>
  <c r="G1482" i="5"/>
  <c r="G1481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5" i="5"/>
  <c r="G1404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214" i="5"/>
  <c r="G1170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2" i="5"/>
  <c r="G1051" i="5"/>
  <c r="G1049" i="5"/>
  <c r="G1048" i="5"/>
  <c r="G1047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6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7" i="5"/>
  <c r="G826" i="5"/>
  <c r="G825" i="5"/>
  <c r="G824" i="5"/>
  <c r="G823" i="5"/>
  <c r="G822" i="5"/>
  <c r="G821" i="5"/>
  <c r="G820" i="5"/>
  <c r="G819" i="5"/>
  <c r="G817" i="5"/>
  <c r="G816" i="5"/>
  <c r="G815" i="5"/>
  <c r="G814" i="5"/>
  <c r="G805" i="5"/>
  <c r="G804" i="5"/>
  <c r="G803" i="5"/>
  <c r="G802" i="5"/>
  <c r="G801" i="5"/>
  <c r="G800" i="5"/>
  <c r="G799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J764" i="5" a="1"/>
  <c r="K764" i="5" s="1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3" i="5"/>
  <c r="G722" i="5"/>
  <c r="G720" i="5"/>
  <c r="G719" i="5"/>
  <c r="G717" i="5"/>
  <c r="G716" i="5"/>
  <c r="G715" i="5"/>
  <c r="G714" i="5"/>
  <c r="G713" i="5"/>
  <c r="G712" i="5"/>
  <c r="G711" i="5"/>
  <c r="G710" i="5"/>
  <c r="G709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66" i="5"/>
  <c r="G665" i="5"/>
  <c r="G664" i="5"/>
  <c r="G663" i="5"/>
  <c r="G66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2" i="5"/>
  <c r="G451" i="5"/>
  <c r="G450" i="5"/>
  <c r="G449" i="5"/>
  <c r="G448" i="5"/>
  <c r="G447" i="5"/>
  <c r="G446" i="5"/>
  <c r="G445" i="5"/>
  <c r="G444" i="5"/>
  <c r="G443" i="5"/>
  <c r="G442" i="5"/>
  <c r="G436" i="5"/>
  <c r="G435" i="5"/>
  <c r="G434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5" i="5"/>
  <c r="G414" i="5"/>
  <c r="G413" i="5"/>
  <c r="G410" i="5"/>
  <c r="G409" i="5"/>
  <c r="G407" i="5"/>
  <c r="G406" i="5"/>
  <c r="G405" i="5"/>
  <c r="G403" i="5"/>
  <c r="G402" i="5"/>
  <c r="G401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0" i="5"/>
  <c r="G289" i="5"/>
  <c r="G288" i="5"/>
  <c r="G285" i="5"/>
  <c r="G284" i="5"/>
  <c r="G282" i="5"/>
  <c r="G281" i="5"/>
  <c r="G280" i="5"/>
  <c r="G279" i="5"/>
  <c r="G278" i="5"/>
  <c r="G277" i="5"/>
  <c r="G276" i="5"/>
  <c r="G275" i="5"/>
  <c r="G274" i="5"/>
  <c r="G273" i="5"/>
  <c r="G271" i="5"/>
  <c r="G270" i="5"/>
  <c r="G269" i="5"/>
  <c r="G268" i="5"/>
  <c r="G267" i="5"/>
  <c r="G266" i="5"/>
  <c r="G265" i="5"/>
  <c r="G264" i="5"/>
  <c r="G263" i="5"/>
  <c r="G262" i="5"/>
  <c r="G259" i="5"/>
  <c r="G258" i="5"/>
  <c r="G257" i="5"/>
  <c r="G249" i="5"/>
  <c r="G223" i="5"/>
  <c r="G222" i="5"/>
  <c r="G221" i="5"/>
  <c r="G220" i="5"/>
  <c r="G219" i="5"/>
  <c r="G215" i="5"/>
  <c r="G214" i="5"/>
  <c r="G213" i="5"/>
  <c r="G212" i="5"/>
  <c r="G211" i="5"/>
  <c r="G210" i="5"/>
  <c r="G209" i="5"/>
  <c r="G207" i="5"/>
  <c r="G206" i="5"/>
  <c r="G205" i="5"/>
  <c r="G183" i="5"/>
  <c r="G182" i="5"/>
  <c r="G164" i="5"/>
  <c r="G163" i="5"/>
  <c r="G162" i="5"/>
  <c r="G161" i="5"/>
  <c r="G160" i="5"/>
  <c r="G159" i="5"/>
  <c r="G158" i="5"/>
  <c r="G157" i="5"/>
  <c r="G156" i="5"/>
  <c r="G155" i="5"/>
  <c r="G152" i="5"/>
  <c r="G151" i="5"/>
  <c r="G148" i="5"/>
  <c r="G147" i="5"/>
  <c r="G146" i="5"/>
  <c r="G145" i="5"/>
  <c r="G144" i="5"/>
  <c r="G143" i="5"/>
  <c r="G142" i="5"/>
  <c r="G134" i="5"/>
  <c r="G133" i="5"/>
  <c r="G132" i="5"/>
  <c r="G131" i="5"/>
  <c r="G130" i="5"/>
  <c r="G129" i="5"/>
  <c r="G125" i="5"/>
  <c r="G124" i="5"/>
  <c r="G122" i="5"/>
  <c r="G121" i="5"/>
  <c r="G120" i="5"/>
  <c r="G119" i="5"/>
  <c r="G118" i="5"/>
  <c r="G117" i="5"/>
  <c r="G113" i="5"/>
  <c r="G112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84" i="5"/>
  <c r="G83" i="5"/>
  <c r="G82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57" i="5"/>
  <c r="G56" i="5"/>
  <c r="G55" i="5"/>
  <c r="G54" i="5"/>
  <c r="G53" i="5"/>
  <c r="G52" i="5"/>
  <c r="G51" i="5"/>
  <c r="G50" i="5"/>
  <c r="G48" i="5"/>
  <c r="G47" i="5"/>
  <c r="G46" i="5"/>
  <c r="G45" i="5"/>
  <c r="L764" i="5" l="1"/>
  <c r="M764" i="5"/>
  <c r="J764" i="5"/>
  <c r="N764" i="5"/>
  <c r="G162" i="2"/>
  <c r="G161" i="2"/>
  <c r="G134" i="2"/>
  <c r="G133" i="2"/>
  <c r="G124" i="2"/>
  <c r="G123" i="2"/>
</calcChain>
</file>

<file path=xl/comments1.xml><?xml version="1.0" encoding="utf-8"?>
<comments xmlns="http://schemas.openxmlformats.org/spreadsheetml/2006/main">
  <authors>
    <author>Jennifer Jones</author>
  </authors>
  <commentList>
    <comment ref="I2142" authorId="0" shapeId="0">
      <text>
        <r>
          <rPr>
            <b/>
            <sz val="9"/>
            <color indexed="81"/>
            <rFont val="Tahoma"/>
            <family val="2"/>
          </rPr>
          <t>Jennifer Jones:</t>
        </r>
        <r>
          <rPr>
            <sz val="9"/>
            <color indexed="81"/>
            <rFont val="Tahoma"/>
            <family val="2"/>
          </rPr>
          <t xml:space="preserve">
This is the actual Order ID for this order it is showing as a different ID since this mid is related to 376274524994</t>
        </r>
      </text>
    </comment>
  </commentList>
</comments>
</file>

<file path=xl/sharedStrings.xml><?xml version="1.0" encoding="utf-8"?>
<sst xmlns="http://schemas.openxmlformats.org/spreadsheetml/2006/main" count="21313" uniqueCount="5305">
  <si>
    <t>Missing</t>
  </si>
  <si>
    <t>376266435993</t>
  </si>
  <si>
    <t>0590285</t>
  </si>
  <si>
    <t xml:space="preserve">Did not receive sale transaction but did receive credit transaction </t>
  </si>
  <si>
    <t>376257395990</t>
  </si>
  <si>
    <t>0594647</t>
  </si>
  <si>
    <t xml:space="preserve">Missing Transaction </t>
  </si>
  <si>
    <t>376256298997</t>
  </si>
  <si>
    <t>0589076</t>
  </si>
  <si>
    <t>0599170</t>
  </si>
  <si>
    <t xml:space="preserve">Duplicate Processing </t>
  </si>
  <si>
    <t>0677786</t>
  </si>
  <si>
    <t xml:space="preserve">Missing Transactions </t>
  </si>
  <si>
    <t>0674852</t>
  </si>
  <si>
    <t>376215983994</t>
  </si>
  <si>
    <t>0657580</t>
  </si>
  <si>
    <t>Missing Credit Trasaction</t>
  </si>
  <si>
    <t>376263748992</t>
  </si>
  <si>
    <t>0679324</t>
  </si>
  <si>
    <t>0680379</t>
  </si>
  <si>
    <t>0680943</t>
  </si>
  <si>
    <t>0681394</t>
  </si>
  <si>
    <t>0681842</t>
  </si>
  <si>
    <t>376263800991</t>
  </si>
  <si>
    <t>0668115</t>
  </si>
  <si>
    <t>0679772</t>
  </si>
  <si>
    <t>0680102</t>
  </si>
  <si>
    <t>376252411990</t>
  </si>
  <si>
    <t>0758991</t>
  </si>
  <si>
    <t>0718829</t>
  </si>
  <si>
    <t xml:space="preserve">Missing Transaction but refunded twice </t>
  </si>
  <si>
    <t>1711601</t>
  </si>
  <si>
    <t>376213749991</t>
  </si>
  <si>
    <t>0759079</t>
  </si>
  <si>
    <t>1740896</t>
  </si>
  <si>
    <t>Missing Credit Transaction - this refund was processed twice and never received sale trans - Both trans voided but funding taken from PBS - need to adjust from VFC since Clinic was never paid for original transaction</t>
  </si>
  <si>
    <t>0815717</t>
  </si>
  <si>
    <t>0824284</t>
  </si>
  <si>
    <t>1824303</t>
  </si>
  <si>
    <t>1827030</t>
  </si>
  <si>
    <t>1788486</t>
  </si>
  <si>
    <t>0778903</t>
  </si>
  <si>
    <t xml:space="preserve">Transaction Processed Twice </t>
  </si>
  <si>
    <t>0834458</t>
  </si>
  <si>
    <t>Missing Transaction</t>
  </si>
  <si>
    <t>??</t>
  </si>
  <si>
    <t>Cannot see in Clientline - duplicate processing</t>
  </si>
  <si>
    <t>376273024996</t>
  </si>
  <si>
    <t>0000972</t>
  </si>
  <si>
    <t>376270147998</t>
  </si>
  <si>
    <t>Duplicate Transaction - this processed twice</t>
  </si>
  <si>
    <t>376265835995</t>
  </si>
  <si>
    <t>0059713</t>
  </si>
  <si>
    <t>376273170997</t>
  </si>
  <si>
    <t>0059712</t>
  </si>
  <si>
    <t>Cannot see in Client Line- Possible Missing Transaction</t>
  </si>
  <si>
    <t>376215227996</t>
  </si>
  <si>
    <t>00000036</t>
  </si>
  <si>
    <t>Duplicate</t>
  </si>
  <si>
    <t>376267110991</t>
  </si>
  <si>
    <t>0118699</t>
  </si>
  <si>
    <t>Duplicate transaction - processed twice</t>
  </si>
  <si>
    <t>376267298994</t>
  </si>
  <si>
    <t>0109414</t>
  </si>
  <si>
    <t>376271476990</t>
  </si>
  <si>
    <t>0116850</t>
  </si>
  <si>
    <t>376211821990</t>
  </si>
  <si>
    <t>0118060</t>
  </si>
  <si>
    <t>376272133996</t>
  </si>
  <si>
    <t>0112595</t>
  </si>
  <si>
    <t>376263261996</t>
  </si>
  <si>
    <t>0033643</t>
  </si>
  <si>
    <t>Duplicate refund processed twice</t>
  </si>
  <si>
    <t>376271079992</t>
  </si>
  <si>
    <t>0118348</t>
  </si>
  <si>
    <t>376263699997</t>
  </si>
  <si>
    <t>0116701</t>
  </si>
  <si>
    <t>376270164993</t>
  </si>
  <si>
    <t>0117476</t>
  </si>
  <si>
    <t>376272378997</t>
  </si>
  <si>
    <t>0118100</t>
  </si>
  <si>
    <t>Cannot see this MID in ClientLine to determine Trace ID #s</t>
  </si>
  <si>
    <t>duplicate processing</t>
  </si>
  <si>
    <t>376272986997</t>
  </si>
  <si>
    <t>0112919</t>
  </si>
  <si>
    <t>Rec'vd funding but no transaction from VFC</t>
  </si>
  <si>
    <t>376212361996</t>
  </si>
  <si>
    <t>0119156</t>
  </si>
  <si>
    <t>0000050</t>
  </si>
  <si>
    <t>0000053</t>
  </si>
  <si>
    <t>0000055</t>
  </si>
  <si>
    <t>376262046992</t>
  </si>
  <si>
    <t>0117312</t>
  </si>
  <si>
    <t>Missing Credit Transaction</t>
  </si>
  <si>
    <t>376266957996</t>
  </si>
  <si>
    <t>0113732</t>
  </si>
  <si>
    <t>376264202999</t>
  </si>
  <si>
    <t>0108670</t>
  </si>
  <si>
    <t>376266964992</t>
  </si>
  <si>
    <t>0116065</t>
  </si>
  <si>
    <t>376270988995</t>
  </si>
  <si>
    <t>0116041</t>
  </si>
  <si>
    <t>376212083996</t>
  </si>
  <si>
    <t>0113648</t>
  </si>
  <si>
    <t>376265349997</t>
  </si>
  <si>
    <t>0116345</t>
  </si>
  <si>
    <t>376267073991</t>
  </si>
  <si>
    <t>0115336</t>
  </si>
  <si>
    <t>376265274997</t>
  </si>
  <si>
    <t>0097338</t>
  </si>
  <si>
    <t>376265353999</t>
  </si>
  <si>
    <t>0118767</t>
  </si>
  <si>
    <t>376268370990</t>
  </si>
  <si>
    <t>0113249</t>
  </si>
  <si>
    <t>Missing Credit Trans (0113249)</t>
  </si>
  <si>
    <t>376271228995</t>
  </si>
  <si>
    <t>0165161</t>
  </si>
  <si>
    <t xml:space="preserve">Duplicate Transaction </t>
  </si>
  <si>
    <t>0383910</t>
  </si>
  <si>
    <t>0388200</t>
  </si>
  <si>
    <t>0388412</t>
  </si>
  <si>
    <t xml:space="preserve">Missing </t>
  </si>
  <si>
    <t>376211771997</t>
  </si>
  <si>
    <t>0388804</t>
  </si>
  <si>
    <t>Missing Transactions</t>
  </si>
  <si>
    <t>0388207</t>
  </si>
  <si>
    <t>0389184</t>
  </si>
  <si>
    <t>Voided</t>
  </si>
  <si>
    <t>2394440</t>
  </si>
  <si>
    <t>Amex voided, Did not Receive Funding</t>
  </si>
  <si>
    <t>2395546</t>
  </si>
  <si>
    <t>2394498</t>
  </si>
  <si>
    <t>2392959</t>
  </si>
  <si>
    <t>2394314</t>
  </si>
  <si>
    <t>2400651</t>
  </si>
  <si>
    <t>2400937</t>
  </si>
  <si>
    <t>2404085</t>
  </si>
  <si>
    <t>2407138</t>
  </si>
  <si>
    <t>2410190</t>
  </si>
  <si>
    <t>2413434</t>
  </si>
  <si>
    <t>2411634</t>
  </si>
  <si>
    <t>2390936</t>
  </si>
  <si>
    <t>Voided, Did not Receive Funding</t>
  </si>
  <si>
    <t>2387207</t>
  </si>
  <si>
    <t>2398844</t>
  </si>
  <si>
    <t>2400225</t>
  </si>
  <si>
    <t>2392591</t>
  </si>
  <si>
    <t>2392138</t>
  </si>
  <si>
    <t>2402224</t>
  </si>
  <si>
    <t>2394702</t>
  </si>
  <si>
    <t>2382766</t>
  </si>
  <si>
    <t>Unvoided</t>
  </si>
  <si>
    <t>2409345</t>
  </si>
  <si>
    <t>2415917</t>
  </si>
  <si>
    <t>Amex Voided, did not receive funding</t>
  </si>
  <si>
    <t>2416400</t>
  </si>
  <si>
    <t>2418203</t>
  </si>
  <si>
    <t>2415978</t>
  </si>
  <si>
    <t>2418510</t>
  </si>
  <si>
    <t>2421888</t>
  </si>
  <si>
    <t>2421967</t>
  </si>
  <si>
    <t>2428684</t>
  </si>
  <si>
    <t>2426218</t>
  </si>
  <si>
    <t>2432210</t>
  </si>
  <si>
    <t>2432516</t>
  </si>
  <si>
    <t>2423997</t>
  </si>
  <si>
    <t>Voided the sales that relate to Fin. Adjustments showing in CL</t>
  </si>
  <si>
    <t>2420693</t>
  </si>
  <si>
    <t>2424560</t>
  </si>
  <si>
    <t>2420333</t>
  </si>
  <si>
    <t>2423950</t>
  </si>
  <si>
    <t>2414631</t>
  </si>
  <si>
    <t>2424562</t>
  </si>
  <si>
    <t>2425590</t>
  </si>
  <si>
    <t>2424935</t>
  </si>
  <si>
    <t>2425128</t>
  </si>
  <si>
    <t>2423447</t>
  </si>
  <si>
    <t>2425605</t>
  </si>
  <si>
    <t>2396124</t>
  </si>
  <si>
    <t>Void, Did not Receive Funding</t>
  </si>
  <si>
    <t>2409295</t>
  </si>
  <si>
    <t>376270713997</t>
  </si>
  <si>
    <t>Amex Voided, Did not Receive Funding</t>
  </si>
  <si>
    <t>376220322998</t>
  </si>
  <si>
    <t>376232606990</t>
  </si>
  <si>
    <t>376212356996</t>
  </si>
  <si>
    <t>0440086</t>
  </si>
  <si>
    <t>VFC recvd this transaction for this Affililiate ID, but it should not have gone through PBS</t>
  </si>
  <si>
    <t>Amex Void, Did not Receive Funding</t>
  </si>
  <si>
    <t>2494316</t>
  </si>
  <si>
    <t>2504762</t>
  </si>
  <si>
    <t>Void, Did not Receive funding</t>
  </si>
  <si>
    <t>376212827996</t>
  </si>
  <si>
    <t>376244923995</t>
  </si>
  <si>
    <t>TL Hold, Voided $42.95, Received $30.93, Fin. Adj. $12.02</t>
  </si>
  <si>
    <t>376275057994</t>
  </si>
  <si>
    <t>Cannot See in CL - Missing Credit Transaction?</t>
  </si>
  <si>
    <t>11/20/16 - 11/26/16</t>
  </si>
  <si>
    <t>2542037</t>
  </si>
  <si>
    <t>2541684</t>
  </si>
  <si>
    <t>Void Did not Receive Funding</t>
  </si>
  <si>
    <t>376266287998</t>
  </si>
  <si>
    <t>376265220990</t>
  </si>
  <si>
    <t>376273423990</t>
  </si>
  <si>
    <t>376240227995</t>
  </si>
  <si>
    <t>Missing Transaction - Trace ID 0569183</t>
  </si>
  <si>
    <t>Amex Void, Did not Receive funding</t>
  </si>
  <si>
    <t>0372639</t>
  </si>
  <si>
    <t>Duplicate Processing</t>
  </si>
  <si>
    <t>Rec'vd</t>
  </si>
  <si>
    <t>376266790991</t>
  </si>
  <si>
    <t>376266577992</t>
  </si>
  <si>
    <t>376268723990</t>
  </si>
  <si>
    <t>376268127994</t>
  </si>
  <si>
    <t>376271092995</t>
  </si>
  <si>
    <t>376209786999</t>
  </si>
  <si>
    <t>376268786997</t>
  </si>
  <si>
    <t>0618230</t>
  </si>
  <si>
    <t>376270941994</t>
  </si>
  <si>
    <t>376270791993</t>
  </si>
  <si>
    <t>0621661</t>
  </si>
  <si>
    <t>0622120</t>
  </si>
  <si>
    <t>376261968998</t>
  </si>
  <si>
    <t>376267719999</t>
  </si>
  <si>
    <t>0622980</t>
  </si>
  <si>
    <t>0624644</t>
  </si>
  <si>
    <t>0605110</t>
  </si>
  <si>
    <t>0626727</t>
  </si>
  <si>
    <t>Transaction Date</t>
  </si>
  <si>
    <t>Type</t>
  </si>
  <si>
    <t>Status</t>
  </si>
  <si>
    <t>MID</t>
  </si>
  <si>
    <t>Vet ID</t>
  </si>
  <si>
    <t>Trace ID</t>
  </si>
  <si>
    <t>Amount</t>
  </si>
  <si>
    <t>Order #</t>
  </si>
  <si>
    <t>Note</t>
  </si>
  <si>
    <t>Netted on 12/29/16 VFC Deposit</t>
  </si>
  <si>
    <t>Recvd</t>
  </si>
  <si>
    <t>376271179990</t>
  </si>
  <si>
    <t>376271779997</t>
  </si>
  <si>
    <t>376266845993</t>
  </si>
  <si>
    <t xml:space="preserve">Amex Voided, Did not Receive Funding No Split Report
</t>
  </si>
  <si>
    <t>376266494990</t>
  </si>
  <si>
    <t>376232610992</t>
  </si>
  <si>
    <t>12/14/16 - 12/20/16</t>
  </si>
  <si>
    <t xml:space="preserve">Funding Received </t>
  </si>
  <si>
    <t xml:space="preserve">01/12/16 - 01/20/16 </t>
  </si>
  <si>
    <t>12/02/15 - 12/08/15</t>
  </si>
  <si>
    <t>12/09/15 - 12/15/15</t>
  </si>
  <si>
    <t>01/13/16 - 01/20/16</t>
  </si>
  <si>
    <t>02/18/16 - 02/23/16</t>
  </si>
  <si>
    <t>02/03/16 - 02/09/16</t>
  </si>
  <si>
    <t>03/16/16 - 03/22/16</t>
  </si>
  <si>
    <t>03/02/16 - 03/08/16</t>
  </si>
  <si>
    <t>03/22/16 -  03/29/16</t>
  </si>
  <si>
    <t>05/08/16 -  05/14/16</t>
  </si>
  <si>
    <t>05/15/16 - 05/21/16</t>
  </si>
  <si>
    <t>06/05/16 - 06/11/16</t>
  </si>
  <si>
    <t>06/12/16 - 06/18/16</t>
  </si>
  <si>
    <t>06/26/16 - 07/02/16</t>
  </si>
  <si>
    <t>07/03/16 - 07/19/16</t>
  </si>
  <si>
    <t>07/17/16 - 07/23/16</t>
  </si>
  <si>
    <t>09/25/16 - 10/1/16</t>
  </si>
  <si>
    <t>10/02/16 - 10/08/16</t>
  </si>
  <si>
    <t>11/06/16 - 11/12/16</t>
  </si>
  <si>
    <t>0740896</t>
  </si>
  <si>
    <t>0955905</t>
  </si>
  <si>
    <t>0976371</t>
  </si>
  <si>
    <t>376213338993</t>
  </si>
  <si>
    <t>0511319</t>
  </si>
  <si>
    <t>376214409991</t>
  </si>
  <si>
    <t>376270875994</t>
  </si>
  <si>
    <t xml:space="preserve">Amex Voided.  Did not receive funding </t>
  </si>
  <si>
    <t xml:space="preserve">Voided. Did not receive funding </t>
  </si>
  <si>
    <t xml:space="preserve">Void. Did not receive funding </t>
  </si>
  <si>
    <t>Voided.  Did not receive funding. This shows as an Amex Transaction in Clientline, however we do not show receiving these funds in Amex.</t>
  </si>
  <si>
    <t>Amex Voided.  Did not receive funding.</t>
  </si>
  <si>
    <t xml:space="preserve">Amex Voided.  Did not receive funding.  </t>
  </si>
  <si>
    <t xml:space="preserve">Amex Voided. Did not receive funding </t>
  </si>
  <si>
    <t>01//12/17</t>
  </si>
  <si>
    <t>01/08/17 - 01/14/17</t>
  </si>
  <si>
    <t xml:space="preserve">Received </t>
  </si>
  <si>
    <t xml:space="preserve">Voided-bank account was changed on the account ending in 2087.  Not sure the bank account was updated from a PBS bank account  </t>
  </si>
  <si>
    <t>376217275993</t>
  </si>
  <si>
    <t xml:space="preserve">Voided Did Not Receive Funding-Cannot see in Clientline </t>
  </si>
  <si>
    <t>376263652996</t>
  </si>
  <si>
    <t>Voided $573.23; Recvd $412.74; Fin Adj $160.49</t>
  </si>
  <si>
    <t>376265082994</t>
  </si>
  <si>
    <t>Voided $365.52, Rec'vd $263.19, Fin Adj $102.33</t>
  </si>
  <si>
    <t>376255822995</t>
  </si>
  <si>
    <t>Voided-Amex funding not recvd</t>
  </si>
  <si>
    <t>376266954993</t>
  </si>
  <si>
    <t>376269450999</t>
  </si>
  <si>
    <t>376271073995</t>
  </si>
  <si>
    <t>Unvoided Trans - rec'vd voided check</t>
  </si>
  <si>
    <t>376271080990</t>
  </si>
  <si>
    <t>376270048998</t>
  </si>
  <si>
    <t xml:space="preserve">Voided-Account is pending since we have not recvd voided check </t>
  </si>
  <si>
    <t>376271078994</t>
  </si>
  <si>
    <t>376270712999</t>
  </si>
  <si>
    <t>Voided $76.05, Rec'vd $54.76, Fin Adj. $21.29</t>
  </si>
  <si>
    <t>376259904997</t>
  </si>
  <si>
    <t>Voided $7.54, Rec'vd $5.43, Fin Adj $2.11</t>
  </si>
  <si>
    <t>Voided $134.72, Rec'vd $97.01, Fin Adj $37.71</t>
  </si>
  <si>
    <t>Voided - AMEX Funding Not Rec'vd</t>
  </si>
  <si>
    <t>Voided $29.70, Rec'vd $21.39, Fin Adj $8.31</t>
  </si>
  <si>
    <t>376212518991</t>
  </si>
  <si>
    <t>Voided - credit transaction not taken from PBS</t>
  </si>
  <si>
    <t>376245309996</t>
  </si>
  <si>
    <t>Voided - did not receive original sale transaction and refund was processed twice</t>
  </si>
  <si>
    <t>VFC can send over original transaction and check with First Data about the refund of this transaction that processed twice</t>
  </si>
  <si>
    <t>37625855998</t>
  </si>
  <si>
    <t>Voided - did not receive original sale transction</t>
  </si>
  <si>
    <t>Voided $2.78, Rec'vd $2.78, Fin Ad. $1.07</t>
  </si>
  <si>
    <t>Voided $169.44, Rec'vd $122, Fin Adj $47.44</t>
  </si>
  <si>
    <t>376271123998</t>
  </si>
  <si>
    <t>376267893992</t>
  </si>
  <si>
    <t xml:space="preserve">Voided Credit Transaction - Cannot see in ClientLine but this order never had a sale transaction </t>
  </si>
  <si>
    <t>376271075990</t>
  </si>
  <si>
    <t>Voided $13.50, Rec'vd $9.72, Fin Adj $3.78</t>
  </si>
  <si>
    <t>Voided - credit not processed</t>
  </si>
  <si>
    <t>Voided $209.79, Rec'vd $151.06, Fin Adj $58.73</t>
  </si>
  <si>
    <t>Voided $202.51, Rec'vd $145.82, Fin Adj $56.69</t>
  </si>
  <si>
    <t>1710080</t>
  </si>
  <si>
    <t>1704600</t>
  </si>
  <si>
    <t xml:space="preserve">Voided-Amex Funding Not Recvd (may rec'vd but first transaction) </t>
  </si>
  <si>
    <t>1728099</t>
  </si>
  <si>
    <t>Voided - Have not rec'vd AMEX funding in the past</t>
  </si>
  <si>
    <t>1721997</t>
  </si>
  <si>
    <t>17226979</t>
  </si>
  <si>
    <t>Voided $313.68, Fin Adj $87.81, Rec'vd 225.87</t>
  </si>
  <si>
    <t>1719393</t>
  </si>
  <si>
    <t>1711068</t>
  </si>
  <si>
    <t>1715021</t>
  </si>
  <si>
    <t>1677080</t>
  </si>
  <si>
    <t>Voided - Did not receive AMEX Funding</t>
  </si>
  <si>
    <t>17721564</t>
  </si>
  <si>
    <t>1715005</t>
  </si>
  <si>
    <t>1712837</t>
  </si>
  <si>
    <t>1715233</t>
  </si>
  <si>
    <t>1711271</t>
  </si>
  <si>
    <t>1719984</t>
  </si>
  <si>
    <t>1717064</t>
  </si>
  <si>
    <t>1717365</t>
  </si>
  <si>
    <t>1714393</t>
  </si>
  <si>
    <t>1714416</t>
  </si>
  <si>
    <t>0719323</t>
  </si>
  <si>
    <t>0717441</t>
  </si>
  <si>
    <t>1743131</t>
  </si>
  <si>
    <t xml:space="preserve">Voided $94.05, Fin Adj $26.33, Rec'vd $67.72; Only Voided 15.85 of the Clinic portion - did not void $78.2 for VFC     
</t>
  </si>
  <si>
    <t>1737763</t>
  </si>
  <si>
    <t xml:space="preserve">Voided $33.50, Fin Adj $9.38, Recv'd $24.12; $50.30 EF - $19.55 Fin Adj - next week   
</t>
  </si>
  <si>
    <t>1729332</t>
  </si>
  <si>
    <t>1737923</t>
  </si>
  <si>
    <t>1733093</t>
  </si>
  <si>
    <t>1732706</t>
  </si>
  <si>
    <t>1740397</t>
  </si>
  <si>
    <t>1738482</t>
  </si>
  <si>
    <t>1735050</t>
  </si>
  <si>
    <t>1730448</t>
  </si>
  <si>
    <t>1736611</t>
  </si>
  <si>
    <t>1740104</t>
  </si>
  <si>
    <t>1741614</t>
  </si>
  <si>
    <t>1741843</t>
  </si>
  <si>
    <t>1758420</t>
  </si>
  <si>
    <t>Voided credit transaction - funding not taken from PBS</t>
  </si>
  <si>
    <t>1748861</t>
  </si>
  <si>
    <t>Voided $69.85, Fin  Adj $19.55, Rec'vd $50.30 (Prev EF)</t>
  </si>
  <si>
    <t>1748631</t>
  </si>
  <si>
    <t>Voided $141.41, Fin Adj $39.59, Rec'vd $101.82</t>
  </si>
  <si>
    <t>1746326</t>
  </si>
  <si>
    <t>1754218</t>
  </si>
  <si>
    <t>17547078</t>
  </si>
  <si>
    <t>1754762</t>
  </si>
  <si>
    <t>1753178</t>
  </si>
  <si>
    <t>1755901</t>
  </si>
  <si>
    <t>1753679</t>
  </si>
  <si>
    <t>1754910</t>
  </si>
  <si>
    <t>1746376</t>
  </si>
  <si>
    <t>1749924</t>
  </si>
  <si>
    <t>1754130</t>
  </si>
  <si>
    <t>376261337996</t>
  </si>
  <si>
    <t>0755070</t>
  </si>
  <si>
    <t>376254515996</t>
  </si>
  <si>
    <t>0756824</t>
  </si>
  <si>
    <t>376232375992</t>
  </si>
  <si>
    <t>0759896</t>
  </si>
  <si>
    <t>376261097996</t>
  </si>
  <si>
    <t>0752894</t>
  </si>
  <si>
    <t>376270993995</t>
  </si>
  <si>
    <t>0756647</t>
  </si>
  <si>
    <t>376267365991</t>
  </si>
  <si>
    <t>0759109</t>
  </si>
  <si>
    <t>376266770993</t>
  </si>
  <si>
    <t>0760318</t>
  </si>
  <si>
    <t>376266524994</t>
  </si>
  <si>
    <t>0755365</t>
  </si>
  <si>
    <t>0759436</t>
  </si>
  <si>
    <t>0758246</t>
  </si>
  <si>
    <t>1757104</t>
  </si>
  <si>
    <t xml:space="preserve">Voided Credit Transaction </t>
  </si>
  <si>
    <t>1760627</t>
  </si>
  <si>
    <t xml:space="preserve">Sale  Transaction Not Recvd </t>
  </si>
  <si>
    <t>1769696</t>
  </si>
  <si>
    <t>Voided $156.55, Rec'vd $112.73, Fin Adj $43.82</t>
  </si>
  <si>
    <t>1757588</t>
  </si>
  <si>
    <t>1769398</t>
  </si>
  <si>
    <t>Voided $133.65, Rec'vd 96.23, Fin Adj $37.42</t>
  </si>
  <si>
    <t>1767350</t>
  </si>
  <si>
    <t>Voided $54.95, Rec'vd $39.57, Fin Adj $15.38</t>
  </si>
  <si>
    <t>1762436</t>
  </si>
  <si>
    <t>Voided credit transaction - did not receive original sale transaction</t>
  </si>
  <si>
    <t>1760898</t>
  </si>
  <si>
    <t>1761364</t>
  </si>
  <si>
    <t>1760651</t>
  </si>
  <si>
    <t>1760805</t>
  </si>
  <si>
    <t>1760857</t>
  </si>
  <si>
    <t>1760828</t>
  </si>
  <si>
    <t>1763582</t>
  </si>
  <si>
    <t>1760907</t>
  </si>
  <si>
    <t>1760668</t>
  </si>
  <si>
    <t>1760654</t>
  </si>
  <si>
    <t>1767587</t>
  </si>
  <si>
    <t>1769957</t>
  </si>
  <si>
    <t>1760801</t>
  </si>
  <si>
    <t>1762894</t>
  </si>
  <si>
    <t>1762457</t>
  </si>
  <si>
    <t>1761390</t>
  </si>
  <si>
    <t>1760666</t>
  </si>
  <si>
    <t>1760783</t>
  </si>
  <si>
    <t>1767631</t>
  </si>
  <si>
    <t>1767820</t>
  </si>
  <si>
    <t>1767438</t>
  </si>
  <si>
    <t>1768860</t>
  </si>
  <si>
    <t>AMEX Funding Not Rec'vd</t>
  </si>
  <si>
    <t>1771377</t>
  </si>
  <si>
    <t>Voided AMEX</t>
  </si>
  <si>
    <t>1770429</t>
  </si>
  <si>
    <t>1770336</t>
  </si>
  <si>
    <t>1764628</t>
  </si>
  <si>
    <t>1759741</t>
  </si>
  <si>
    <t>1761188</t>
  </si>
  <si>
    <t>1759718</t>
  </si>
  <si>
    <t>1763971</t>
  </si>
  <si>
    <t>1759857</t>
  </si>
  <si>
    <t>1771347</t>
  </si>
  <si>
    <t>1765476</t>
  </si>
  <si>
    <t>1769191</t>
  </si>
  <si>
    <t>1774445</t>
  </si>
  <si>
    <t>1768942</t>
  </si>
  <si>
    <t>1764527</t>
  </si>
  <si>
    <t>376230916995</t>
  </si>
  <si>
    <t>07758812</t>
  </si>
  <si>
    <t>Funding Recvd</t>
  </si>
  <si>
    <t>376228938993</t>
  </si>
  <si>
    <t>0775608</t>
  </si>
  <si>
    <t>0784620</t>
  </si>
  <si>
    <t>0829529</t>
  </si>
  <si>
    <t>0831339</t>
  </si>
  <si>
    <t>0829704</t>
  </si>
  <si>
    <t>376271652996</t>
  </si>
  <si>
    <t>0845094</t>
  </si>
  <si>
    <t>1862151</t>
  </si>
  <si>
    <t>1863199</t>
  </si>
  <si>
    <t>1861247</t>
  </si>
  <si>
    <t>1863933</t>
  </si>
  <si>
    <t>1862180</t>
  </si>
  <si>
    <t>1865485</t>
  </si>
  <si>
    <t>1860666</t>
  </si>
  <si>
    <t>1865624</t>
  </si>
  <si>
    <t>1862516</t>
  </si>
  <si>
    <t>1864913</t>
  </si>
  <si>
    <t>1866445</t>
  </si>
  <si>
    <t>0871681</t>
  </si>
  <si>
    <t xml:space="preserve">Missing Transaction Processed Twice; Recvd One; Still Missing One Transaction </t>
  </si>
  <si>
    <t xml:space="preserve">Recvd </t>
  </si>
  <si>
    <t>0883393</t>
  </si>
  <si>
    <t>0924197</t>
  </si>
  <si>
    <t>Rec'vd credit transaction the following week (wash)</t>
  </si>
  <si>
    <t>0918563</t>
  </si>
  <si>
    <t>0924288</t>
  </si>
  <si>
    <t xml:space="preserve">Missing Credit Transaction </t>
  </si>
  <si>
    <t>Rwc'vd</t>
  </si>
  <si>
    <t>1789124</t>
  </si>
  <si>
    <t>Voided - did not receive funding</t>
  </si>
  <si>
    <t>1782700</t>
  </si>
  <si>
    <t>Voided - never rec'vd original sale transaction</t>
  </si>
  <si>
    <t>1815726</t>
  </si>
  <si>
    <t>Did not receive original sale transaction</t>
  </si>
  <si>
    <t>1907740</t>
  </si>
  <si>
    <t>1859909</t>
  </si>
  <si>
    <t>1859930</t>
  </si>
  <si>
    <t>1860235</t>
  </si>
  <si>
    <t>1852249</t>
  </si>
  <si>
    <t>1870384</t>
  </si>
  <si>
    <t>1873783</t>
  </si>
  <si>
    <t>1874944</t>
  </si>
  <si>
    <t>1879256</t>
  </si>
  <si>
    <t>1877929</t>
  </si>
  <si>
    <t>1792047</t>
  </si>
  <si>
    <t>1839341</t>
  </si>
  <si>
    <t>1849868</t>
  </si>
  <si>
    <t>1859463</t>
  </si>
  <si>
    <t>1870433</t>
  </si>
  <si>
    <t>1877898</t>
  </si>
  <si>
    <t>1887083</t>
  </si>
  <si>
    <t>1895645</t>
  </si>
  <si>
    <t>1903080</t>
  </si>
  <si>
    <t>1907546</t>
  </si>
  <si>
    <t>1913372</t>
  </si>
  <si>
    <t>1915936</t>
  </si>
  <si>
    <t>1924995</t>
  </si>
  <si>
    <t>376258029994</t>
  </si>
  <si>
    <t>Voided $286.40, Rec'vd $206.21 , Fin Adj $80.19</t>
  </si>
  <si>
    <t>1848902</t>
  </si>
  <si>
    <t>1777306</t>
  </si>
  <si>
    <t xml:space="preserve">Voided-This is a credit transaction </t>
  </si>
  <si>
    <t>1782967</t>
  </si>
  <si>
    <t>1773014</t>
  </si>
  <si>
    <t>1817039</t>
  </si>
  <si>
    <t>1886297</t>
  </si>
  <si>
    <t>0900051</t>
  </si>
  <si>
    <t>1846260</t>
  </si>
  <si>
    <t>1819242</t>
  </si>
  <si>
    <t>1789553</t>
  </si>
  <si>
    <t>1788627</t>
  </si>
  <si>
    <t>1789373</t>
  </si>
  <si>
    <t>1794144</t>
  </si>
  <si>
    <t>1797102</t>
  </si>
  <si>
    <t>1796341</t>
  </si>
  <si>
    <t>1797729</t>
  </si>
  <si>
    <t>1795151</t>
  </si>
  <si>
    <t>1803920</t>
  </si>
  <si>
    <t>1727642</t>
  </si>
  <si>
    <t>1801654</t>
  </si>
  <si>
    <t>1806073</t>
  </si>
  <si>
    <t>1815240</t>
  </si>
  <si>
    <t>1807628</t>
  </si>
  <si>
    <t>1819088</t>
  </si>
  <si>
    <t>1817972</t>
  </si>
  <si>
    <t>1822274</t>
  </si>
  <si>
    <t>1820373</t>
  </si>
  <si>
    <t>1824852</t>
  </si>
  <si>
    <t>1826691</t>
  </si>
  <si>
    <t>1826119</t>
  </si>
  <si>
    <t>1824863</t>
  </si>
  <si>
    <t>1825635</t>
  </si>
  <si>
    <t>1824870</t>
  </si>
  <si>
    <t>1820789</t>
  </si>
  <si>
    <t>1822911</t>
  </si>
  <si>
    <t>1830204</t>
  </si>
  <si>
    <t>1833105</t>
  </si>
  <si>
    <t>1814835</t>
  </si>
  <si>
    <t>1829609</t>
  </si>
  <si>
    <t>1833118</t>
  </si>
  <si>
    <t>1837250</t>
  </si>
  <si>
    <t>1832774</t>
  </si>
  <si>
    <t>1840115</t>
  </si>
  <si>
    <t>1831120</t>
  </si>
  <si>
    <t>1831769</t>
  </si>
  <si>
    <t>1841509</t>
  </si>
  <si>
    <t>1845784</t>
  </si>
  <si>
    <t>1845563</t>
  </si>
  <si>
    <t>1845391</t>
  </si>
  <si>
    <t>1844600</t>
  </si>
  <si>
    <t>1850219</t>
  </si>
  <si>
    <t>1851792</t>
  </si>
  <si>
    <t>1849827</t>
  </si>
  <si>
    <t>1858785</t>
  </si>
  <si>
    <t>1854979</t>
  </si>
  <si>
    <t>1860114</t>
  </si>
  <si>
    <t>1859601</t>
  </si>
  <si>
    <t>1865302</t>
  </si>
  <si>
    <t>1865149</t>
  </si>
  <si>
    <t>1864923</t>
  </si>
  <si>
    <t>1865248</t>
  </si>
  <si>
    <t>1867044</t>
  </si>
  <si>
    <t>1865086</t>
  </si>
  <si>
    <t>1868077</t>
  </si>
  <si>
    <t>1863978</t>
  </si>
  <si>
    <t>1879449</t>
  </si>
  <si>
    <t>1882346</t>
  </si>
  <si>
    <t>1884573</t>
  </si>
  <si>
    <t>1887232</t>
  </si>
  <si>
    <t>1889466</t>
  </si>
  <si>
    <t>1887616</t>
  </si>
  <si>
    <t>1888529</t>
  </si>
  <si>
    <t>1889370</t>
  </si>
  <si>
    <t>1892232</t>
  </si>
  <si>
    <t>1894926</t>
  </si>
  <si>
    <t>1891862</t>
  </si>
  <si>
    <t>1901120</t>
  </si>
  <si>
    <t>1899482</t>
  </si>
  <si>
    <t>1904427</t>
  </si>
  <si>
    <t>1909510</t>
  </si>
  <si>
    <t>1909855</t>
  </si>
  <si>
    <t>1898296</t>
  </si>
  <si>
    <t>1909882</t>
  </si>
  <si>
    <t>1910255</t>
  </si>
  <si>
    <t>1906185</t>
  </si>
  <si>
    <t>1907734</t>
  </si>
  <si>
    <t>1921317</t>
  </si>
  <si>
    <t>1922454</t>
  </si>
  <si>
    <t>1928047</t>
  </si>
  <si>
    <t>1935019</t>
  </si>
  <si>
    <t>1938392</t>
  </si>
  <si>
    <t>1938107</t>
  </si>
  <si>
    <t>1941317</t>
  </si>
  <si>
    <t>1942310</t>
  </si>
  <si>
    <t>1778724</t>
  </si>
  <si>
    <t>1800683</t>
  </si>
  <si>
    <t>1800661</t>
  </si>
  <si>
    <t>1787129</t>
  </si>
  <si>
    <t>1785516</t>
  </si>
  <si>
    <t>1802217</t>
  </si>
  <si>
    <t>1810245</t>
  </si>
  <si>
    <t>1820512</t>
  </si>
  <si>
    <t>1817141</t>
  </si>
  <si>
    <t>1825536</t>
  </si>
  <si>
    <t>1825151</t>
  </si>
  <si>
    <t>1784079</t>
  </si>
  <si>
    <t>1779473</t>
  </si>
  <si>
    <t>1780595</t>
  </si>
  <si>
    <t>1775053</t>
  </si>
  <si>
    <t>1773258</t>
  </si>
  <si>
    <t>Unvoided - will pay Clinic in April '16</t>
  </si>
  <si>
    <t>1779176</t>
  </si>
  <si>
    <t>1778538</t>
  </si>
  <si>
    <t>1805650</t>
  </si>
  <si>
    <t>1817980</t>
  </si>
  <si>
    <t>1822933</t>
  </si>
  <si>
    <t>1821757</t>
  </si>
  <si>
    <t>1829446</t>
  </si>
  <si>
    <t>1852443</t>
  </si>
  <si>
    <t>1850315</t>
  </si>
  <si>
    <t>1854238</t>
  </si>
  <si>
    <t>1796100</t>
  </si>
  <si>
    <t>Voided $50.24, Rec'vd $36.18, Fin Adj $14.06</t>
  </si>
  <si>
    <t>1822760</t>
  </si>
  <si>
    <t>Voided $111.13, Rec'vd $80.03, Fin Adj $31.10</t>
  </si>
  <si>
    <t>1832450</t>
  </si>
  <si>
    <t>1863584</t>
  </si>
  <si>
    <t>Voided $58.90, Rec'vd $42.41, Fin Adj $16.49</t>
  </si>
  <si>
    <t>1915206</t>
  </si>
  <si>
    <t>Voided $66.86, Rec'vd $48.14 , Fin Adj $18.72</t>
  </si>
  <si>
    <t>1924744</t>
  </si>
  <si>
    <t>Voided $192.71, Rec'vd $138.76, Fin Adj $53.95</t>
  </si>
  <si>
    <t>1932164</t>
  </si>
  <si>
    <t>1942231</t>
  </si>
  <si>
    <t>1786462</t>
  </si>
  <si>
    <t>Voided $90.85, Rec'vd $65.42, Fin Adj $25.43</t>
  </si>
  <si>
    <t>1808497</t>
  </si>
  <si>
    <t>Voided $335.63, Rec'vd $241.67, Fin Adj $93.96</t>
  </si>
  <si>
    <t>1811686</t>
  </si>
  <si>
    <t>1804833</t>
  </si>
  <si>
    <t>1828461</t>
  </si>
  <si>
    <t>Voided $432.03, Rec'vd $311.07, Fin Adj $120.96</t>
  </si>
  <si>
    <t>1821125</t>
  </si>
  <si>
    <t>1842759</t>
  </si>
  <si>
    <t>1831132</t>
  </si>
  <si>
    <t>Voided $339.53, Rec'vd $244.47, Fin Adj $95.06</t>
  </si>
  <si>
    <t>1897948</t>
  </si>
  <si>
    <t>Voided $536.26, Rec'vd $386.12, Fin Adj $150.14</t>
  </si>
  <si>
    <t>1889128</t>
  </si>
  <si>
    <t>1888286</t>
  </si>
  <si>
    <t>1887966</t>
  </si>
  <si>
    <t>1916486</t>
  </si>
  <si>
    <t>Voided $121.93, Rec'vd $87.79 , Fin Adj $34.14</t>
  </si>
  <si>
    <t>1929243</t>
  </si>
  <si>
    <t>Voided $326.10, Rec'vd $234.81 , Fin Adj $91.29</t>
  </si>
  <si>
    <t>1937385</t>
  </si>
  <si>
    <t>1929386</t>
  </si>
  <si>
    <t>1826676</t>
  </si>
  <si>
    <t>1859682</t>
  </si>
  <si>
    <t>Voided - did not receive original sale transaction</t>
  </si>
  <si>
    <t>1817728</t>
  </si>
  <si>
    <t>376265641997</t>
  </si>
  <si>
    <t>1804753</t>
  </si>
  <si>
    <t>1796759</t>
  </si>
  <si>
    <t>1845691</t>
  </si>
  <si>
    <t>1845683</t>
  </si>
  <si>
    <t>1840933</t>
  </si>
  <si>
    <t>1848680</t>
  </si>
  <si>
    <t>1854186</t>
  </si>
  <si>
    <t>1861997</t>
  </si>
  <si>
    <t>1898145</t>
  </si>
  <si>
    <t>1898194</t>
  </si>
  <si>
    <t>1888552</t>
  </si>
  <si>
    <t>1922818</t>
  </si>
  <si>
    <t>1940140</t>
  </si>
  <si>
    <t>1787368</t>
  </si>
  <si>
    <t>1787642</t>
  </si>
  <si>
    <t>1784761</t>
  </si>
  <si>
    <t>1784248</t>
  </si>
  <si>
    <t>1809146</t>
  </si>
  <si>
    <t>1801297</t>
  </si>
  <si>
    <t>1798942</t>
  </si>
  <si>
    <t>1820533</t>
  </si>
  <si>
    <t>1826588</t>
  </si>
  <si>
    <t>2826591</t>
  </si>
  <si>
    <t>1829424</t>
  </si>
  <si>
    <t>1838956</t>
  </si>
  <si>
    <t>1841733</t>
  </si>
  <si>
    <t>1854408</t>
  </si>
  <si>
    <t>1865510</t>
  </si>
  <si>
    <t>1888327</t>
  </si>
  <si>
    <t>1890078</t>
  </si>
  <si>
    <t>1891978</t>
  </si>
  <si>
    <t>1933590</t>
  </si>
  <si>
    <t>1924241</t>
  </si>
  <si>
    <t>1844190</t>
  </si>
  <si>
    <t>1845703</t>
  </si>
  <si>
    <t>376270918992</t>
  </si>
  <si>
    <t>1785970</t>
  </si>
  <si>
    <t>1910900</t>
  </si>
  <si>
    <t>1913269</t>
  </si>
  <si>
    <t>1915842</t>
  </si>
  <si>
    <t>1917819</t>
  </si>
  <si>
    <t>1919139</t>
  </si>
  <si>
    <t>1791667</t>
  </si>
  <si>
    <t>1791668</t>
  </si>
  <si>
    <t>1789920</t>
  </si>
  <si>
    <t>1787305</t>
  </si>
  <si>
    <t>1783693</t>
  </si>
  <si>
    <t>1782524</t>
  </si>
  <si>
    <t>1777921</t>
  </si>
  <si>
    <t>1781675</t>
  </si>
  <si>
    <t>1798855</t>
  </si>
  <si>
    <t>1799038</t>
  </si>
  <si>
    <t>1795003</t>
  </si>
  <si>
    <t>1793955</t>
  </si>
  <si>
    <t>1795039</t>
  </si>
  <si>
    <t>1801877</t>
  </si>
  <si>
    <t>1806003</t>
  </si>
  <si>
    <t>1802310</t>
  </si>
  <si>
    <t>1811152</t>
  </si>
  <si>
    <t>1809589</t>
  </si>
  <si>
    <t>1809673</t>
  </si>
  <si>
    <t>1809698</t>
  </si>
  <si>
    <t>1811237</t>
  </si>
  <si>
    <t>1813481</t>
  </si>
  <si>
    <t>1813467</t>
  </si>
  <si>
    <t>1815787</t>
  </si>
  <si>
    <t>1812614</t>
  </si>
  <si>
    <t>1821278</t>
  </si>
  <si>
    <t>1819250</t>
  </si>
  <si>
    <t>1819254</t>
  </si>
  <si>
    <t>1824179</t>
  </si>
  <si>
    <t>1821313</t>
  </si>
  <si>
    <t>1821632</t>
  </si>
  <si>
    <t>1829758</t>
  </si>
  <si>
    <t>1829778</t>
  </si>
  <si>
    <t>1829976</t>
  </si>
  <si>
    <t>1828234</t>
  </si>
  <si>
    <t>1840330</t>
  </si>
  <si>
    <t>1839344</t>
  </si>
  <si>
    <t>1840323</t>
  </si>
  <si>
    <t>1841736</t>
  </si>
  <si>
    <t>1838304</t>
  </si>
  <si>
    <t>1832781</t>
  </si>
  <si>
    <t>1827414</t>
  </si>
  <si>
    <t>1832768</t>
  </si>
  <si>
    <t>1863367</t>
  </si>
  <si>
    <t>1861864</t>
  </si>
  <si>
    <t>1861768</t>
  </si>
  <si>
    <t>1855815</t>
  </si>
  <si>
    <t>1858335</t>
  </si>
  <si>
    <t>1856658</t>
  </si>
  <si>
    <t>1852970</t>
  </si>
  <si>
    <t>1852848</t>
  </si>
  <si>
    <t>1850942</t>
  </si>
  <si>
    <t>1850900</t>
  </si>
  <si>
    <t>1848327</t>
  </si>
  <si>
    <t>1849110</t>
  </si>
  <si>
    <t>1849089</t>
  </si>
  <si>
    <t>1904052</t>
  </si>
  <si>
    <t>1897379</t>
  </si>
  <si>
    <t>1887905</t>
  </si>
  <si>
    <t>1891101</t>
  </si>
  <si>
    <t>1891466</t>
  </si>
  <si>
    <t>1910575</t>
  </si>
  <si>
    <t>1907958</t>
  </si>
  <si>
    <t>1907499</t>
  </si>
  <si>
    <t>1915398</t>
  </si>
  <si>
    <t>1915477</t>
  </si>
  <si>
    <t>1910244</t>
  </si>
  <si>
    <t>1916593</t>
  </si>
  <si>
    <t>1916999</t>
  </si>
  <si>
    <t>1916815</t>
  </si>
  <si>
    <t>1919265</t>
  </si>
  <si>
    <t>1942580</t>
  </si>
  <si>
    <t>1942492</t>
  </si>
  <si>
    <t>1942565</t>
  </si>
  <si>
    <t>1940040</t>
  </si>
  <si>
    <t>1937542</t>
  </si>
  <si>
    <t>1939609</t>
  </si>
  <si>
    <t>1936683</t>
  </si>
  <si>
    <t>1936291</t>
  </si>
  <si>
    <t>1933731</t>
  </si>
  <si>
    <t>1933714</t>
  </si>
  <si>
    <t>1933603</t>
  </si>
  <si>
    <t>1924484</t>
  </si>
  <si>
    <t>1926848</t>
  </si>
  <si>
    <t>1925827</t>
  </si>
  <si>
    <t>1930097</t>
  </si>
  <si>
    <t>1929906</t>
  </si>
  <si>
    <t>1929772</t>
  </si>
  <si>
    <t>1936921</t>
  </si>
  <si>
    <t>1930137</t>
  </si>
  <si>
    <t>1802606</t>
  </si>
  <si>
    <t>1804988</t>
  </si>
  <si>
    <t>1840188</t>
  </si>
  <si>
    <t>1840775</t>
  </si>
  <si>
    <t>1847737</t>
  </si>
  <si>
    <t>1782624</t>
  </si>
  <si>
    <t>1808765</t>
  </si>
  <si>
    <t>1812188</t>
  </si>
  <si>
    <t>1817291</t>
  </si>
  <si>
    <t>1827268</t>
  </si>
  <si>
    <t>1847030</t>
  </si>
  <si>
    <t>1842334</t>
  </si>
  <si>
    <t>1842558</t>
  </si>
  <si>
    <t>1840292</t>
  </si>
  <si>
    <t>1830067</t>
  </si>
  <si>
    <t>1832477</t>
  </si>
  <si>
    <t>1833903</t>
  </si>
  <si>
    <t>1834452</t>
  </si>
  <si>
    <t>1848305</t>
  </si>
  <si>
    <t>1850947</t>
  </si>
  <si>
    <t>1854604</t>
  </si>
  <si>
    <t>1845149</t>
  </si>
  <si>
    <t>1865025</t>
  </si>
  <si>
    <t>1862244</t>
  </si>
  <si>
    <t>1863826</t>
  </si>
  <si>
    <t>376271725990</t>
  </si>
  <si>
    <t>1900711</t>
  </si>
  <si>
    <t>1905161</t>
  </si>
  <si>
    <t>1897473</t>
  </si>
  <si>
    <t>1895169</t>
  </si>
  <si>
    <t>1888455</t>
  </si>
  <si>
    <t>1887006</t>
  </si>
  <si>
    <t>1888868</t>
  </si>
  <si>
    <t>1889162</t>
  </si>
  <si>
    <t>1916494</t>
  </si>
  <si>
    <t>1908679</t>
  </si>
  <si>
    <t>1922396</t>
  </si>
  <si>
    <t>1924749</t>
  </si>
  <si>
    <t>1922344</t>
  </si>
  <si>
    <t>1935600</t>
  </si>
  <si>
    <t>Voided - Funding Not Rec'vd</t>
  </si>
  <si>
    <t>1930951</t>
  </si>
  <si>
    <t>1931699</t>
  </si>
  <si>
    <t>1930162</t>
  </si>
  <si>
    <t>1925897</t>
  </si>
  <si>
    <t>1865020</t>
  </si>
  <si>
    <t>1838410</t>
  </si>
  <si>
    <t>Voided - funding not taken from us (credit transaction)</t>
  </si>
  <si>
    <t>1790667</t>
  </si>
  <si>
    <t>1810660</t>
  </si>
  <si>
    <t>0936880</t>
  </si>
  <si>
    <t>0940630</t>
  </si>
  <si>
    <t>0943306</t>
  </si>
  <si>
    <t>0941049</t>
  </si>
  <si>
    <t>0944529</t>
  </si>
  <si>
    <t>1952002</t>
  </si>
  <si>
    <t>Voided 96.25, Received 69.30, Fin Adj 26.95</t>
  </si>
  <si>
    <t>1950706</t>
  </si>
  <si>
    <t>1934150</t>
  </si>
  <si>
    <t>1948654</t>
  </si>
  <si>
    <t>1955881</t>
  </si>
  <si>
    <t>1963506</t>
  </si>
  <si>
    <t>351770</t>
  </si>
  <si>
    <t xml:space="preserve">AMEX Funding Not Rec'vd </t>
  </si>
  <si>
    <t>351187</t>
  </si>
  <si>
    <t>1946905</t>
  </si>
  <si>
    <t>1947715</t>
  </si>
  <si>
    <t>1950556</t>
  </si>
  <si>
    <t>1947716</t>
  </si>
  <si>
    <t>1948156</t>
  </si>
  <si>
    <t>1947880</t>
  </si>
  <si>
    <t>1954155</t>
  </si>
  <si>
    <t>1951781</t>
  </si>
  <si>
    <t>1960688</t>
  </si>
  <si>
    <t>1953007</t>
  </si>
  <si>
    <t>1953358</t>
  </si>
  <si>
    <t>1962463</t>
  </si>
  <si>
    <t>1944981</t>
  </si>
  <si>
    <t>1947644</t>
  </si>
  <si>
    <t>1951200</t>
  </si>
  <si>
    <t>1933741</t>
  </si>
  <si>
    <t>1955008</t>
  </si>
  <si>
    <t>1944489</t>
  </si>
  <si>
    <t>1959820</t>
  </si>
  <si>
    <t>1960711</t>
  </si>
  <si>
    <t>1957719</t>
  </si>
  <si>
    <t>1945820</t>
  </si>
  <si>
    <t>1963554</t>
  </si>
  <si>
    <t>1939049</t>
  </si>
  <si>
    <t>1962169</t>
  </si>
  <si>
    <t>1963627</t>
  </si>
  <si>
    <t>1958316</t>
  </si>
  <si>
    <t>1957533</t>
  </si>
  <si>
    <t>1951963</t>
  </si>
  <si>
    <t>1952922</t>
  </si>
  <si>
    <t>1945279</t>
  </si>
  <si>
    <t>Voided did not receive funding</t>
  </si>
  <si>
    <t>1945185</t>
  </si>
  <si>
    <t>1944748</t>
  </si>
  <si>
    <t>0963255</t>
  </si>
  <si>
    <t>0960136</t>
  </si>
  <si>
    <t>0963231</t>
  </si>
  <si>
    <t>0963846</t>
  </si>
  <si>
    <t>0954712</t>
  </si>
  <si>
    <t>0962029</t>
  </si>
  <si>
    <t>0962095</t>
  </si>
  <si>
    <t>1946708</t>
  </si>
  <si>
    <t>Voided 694.94, Received 500.37, Fin Adj 194.57</t>
  </si>
  <si>
    <t>1956021</t>
  </si>
  <si>
    <t>1968342</t>
  </si>
  <si>
    <t>1963214</t>
  </si>
  <si>
    <t>1966418</t>
  </si>
  <si>
    <t>1971678</t>
  </si>
  <si>
    <t>1975518</t>
  </si>
  <si>
    <t>Voided 402.61, Received 289.89, Fin Adj 112.72</t>
  </si>
  <si>
    <t>1974048</t>
  </si>
  <si>
    <t>1977203</t>
  </si>
  <si>
    <t>1967398</t>
  </si>
  <si>
    <t>1980770</t>
  </si>
  <si>
    <t>1978547</t>
  </si>
  <si>
    <t>1973125</t>
  </si>
  <si>
    <t>1976266</t>
  </si>
  <si>
    <t>1978516</t>
  </si>
  <si>
    <t>1969685</t>
  </si>
  <si>
    <t>1980813</t>
  </si>
  <si>
    <t>1981147</t>
  </si>
  <si>
    <t>1977854</t>
  </si>
  <si>
    <t>1977528</t>
  </si>
  <si>
    <t>1979617</t>
  </si>
  <si>
    <t>1977292</t>
  </si>
  <si>
    <t>1976533</t>
  </si>
  <si>
    <t>1973493</t>
  </si>
  <si>
    <t>1973499</t>
  </si>
  <si>
    <t>1973512</t>
  </si>
  <si>
    <t>1976551</t>
  </si>
  <si>
    <t>1974375</t>
  </si>
  <si>
    <t>1960284</t>
  </si>
  <si>
    <t>1968138</t>
  </si>
  <si>
    <t>1968136</t>
  </si>
  <si>
    <t>1955106</t>
  </si>
  <si>
    <t>1966745</t>
  </si>
  <si>
    <t>1975615</t>
  </si>
  <si>
    <t>1968713</t>
  </si>
  <si>
    <t>1967585</t>
  </si>
  <si>
    <t>1964669</t>
  </si>
  <si>
    <t>1966317</t>
  </si>
  <si>
    <t>1966830</t>
  </si>
  <si>
    <t>1966391</t>
  </si>
  <si>
    <t>1967418</t>
  </si>
  <si>
    <t>1965126</t>
  </si>
  <si>
    <t>1967775</t>
  </si>
  <si>
    <t>1967736</t>
  </si>
  <si>
    <t>1972162</t>
  </si>
  <si>
    <t>1968246</t>
  </si>
  <si>
    <t>1958853</t>
  </si>
  <si>
    <t>1975631</t>
  </si>
  <si>
    <t>1972358</t>
  </si>
  <si>
    <t>0982648</t>
  </si>
  <si>
    <t>Missing Transaction - rec'vd credit trans the following week (wash)</t>
  </si>
  <si>
    <t>0982972</t>
  </si>
  <si>
    <t>0983128</t>
  </si>
  <si>
    <t>1960136</t>
  </si>
  <si>
    <t>1963255</t>
  </si>
  <si>
    <t>1989958</t>
  </si>
  <si>
    <t>1991448</t>
  </si>
  <si>
    <t>Voided 343.17, Received 247.10, Fin Adj 96.07</t>
  </si>
  <si>
    <t>1994002</t>
  </si>
  <si>
    <t>1994327</t>
  </si>
  <si>
    <t>1996726</t>
  </si>
  <si>
    <t>1996075</t>
  </si>
  <si>
    <t>1997376</t>
  </si>
  <si>
    <t>1998920</t>
  </si>
  <si>
    <t>2001794</t>
  </si>
  <si>
    <t>2001921</t>
  </si>
  <si>
    <t>1996766</t>
  </si>
  <si>
    <t>2001556</t>
  </si>
  <si>
    <t>1996632</t>
  </si>
  <si>
    <t>2001635</t>
  </si>
  <si>
    <t>2955646</t>
  </si>
  <si>
    <t>1994623</t>
  </si>
  <si>
    <t>1993519</t>
  </si>
  <si>
    <t>1996892</t>
  </si>
  <si>
    <t>1998337</t>
  </si>
  <si>
    <t>1998127</t>
  </si>
  <si>
    <t>1993853</t>
  </si>
  <si>
    <t>1995629</t>
  </si>
  <si>
    <t>1990288</t>
  </si>
  <si>
    <t>1990555</t>
  </si>
  <si>
    <t>1992916</t>
  </si>
  <si>
    <t>1989583</t>
  </si>
  <si>
    <t>1988557</t>
  </si>
  <si>
    <t>1984300</t>
  </si>
  <si>
    <t>1986681</t>
  </si>
  <si>
    <t>1984379</t>
  </si>
  <si>
    <t>1984976</t>
  </si>
  <si>
    <t>1986168</t>
  </si>
  <si>
    <t>1992791</t>
  </si>
  <si>
    <t>1994887</t>
  </si>
  <si>
    <t>1998975</t>
  </si>
  <si>
    <t>1995886</t>
  </si>
  <si>
    <t>1996254</t>
  </si>
  <si>
    <t>2000103</t>
  </si>
  <si>
    <t>2001430</t>
  </si>
  <si>
    <t>1992714</t>
  </si>
  <si>
    <t>1990471</t>
  </si>
  <si>
    <t>1982968</t>
  </si>
  <si>
    <t>1998379</t>
  </si>
  <si>
    <t>376267154999</t>
  </si>
  <si>
    <t>0996719</t>
  </si>
  <si>
    <t>376265350995</t>
  </si>
  <si>
    <t>0002899</t>
  </si>
  <si>
    <t>0995706</t>
  </si>
  <si>
    <t>376270300993</t>
  </si>
  <si>
    <t>000098</t>
  </si>
  <si>
    <t>376272521992</t>
  </si>
  <si>
    <t>0994821</t>
  </si>
  <si>
    <t>376269230995</t>
  </si>
  <si>
    <t>0992707</t>
  </si>
  <si>
    <t>2006515</t>
  </si>
  <si>
    <t>2015017</t>
  </si>
  <si>
    <t>2021032</t>
  </si>
  <si>
    <t xml:space="preserve">Voided-did not receive funding </t>
  </si>
  <si>
    <t>2020021</t>
  </si>
  <si>
    <t>2022689</t>
  </si>
  <si>
    <t>2016106</t>
  </si>
  <si>
    <t xml:space="preserve">Voided 142.64, Received 102.71, Fin Adj 39.93
</t>
  </si>
  <si>
    <t>2012421</t>
  </si>
  <si>
    <t>2007014</t>
  </si>
  <si>
    <t>Voided - did not receive funding (inactive account)</t>
  </si>
  <si>
    <t>2011297</t>
  </si>
  <si>
    <t>2010535</t>
  </si>
  <si>
    <t>1998188</t>
  </si>
  <si>
    <t>1997952</t>
  </si>
  <si>
    <t>2006131</t>
  </si>
  <si>
    <t>2010554</t>
  </si>
  <si>
    <t>2013204</t>
  </si>
  <si>
    <t>2006588</t>
  </si>
  <si>
    <t>2006336</t>
  </si>
  <si>
    <t>2006331</t>
  </si>
  <si>
    <t>2002381</t>
  </si>
  <si>
    <t>2007371</t>
  </si>
  <si>
    <t>2008993</t>
  </si>
  <si>
    <t>2009213</t>
  </si>
  <si>
    <t>2013157</t>
  </si>
  <si>
    <t>2019396</t>
  </si>
  <si>
    <t>2020576</t>
  </si>
  <si>
    <t>2022814</t>
  </si>
  <si>
    <t>2021140</t>
  </si>
  <si>
    <t>2019428</t>
  </si>
  <si>
    <t>2024996</t>
  </si>
  <si>
    <t>2023993</t>
  </si>
  <si>
    <t>2022051</t>
  </si>
  <si>
    <t>2012978</t>
  </si>
  <si>
    <t>2011056</t>
  </si>
  <si>
    <t>2002540</t>
  </si>
  <si>
    <t>2002088</t>
  </si>
  <si>
    <t>0021898</t>
  </si>
  <si>
    <t>Missing Transactions  - rec'vd credit trans the following week (wash)</t>
  </si>
  <si>
    <t>0022066</t>
  </si>
  <si>
    <t>0020892</t>
  </si>
  <si>
    <t>0026083</t>
  </si>
  <si>
    <t>0024817</t>
  </si>
  <si>
    <t>0026082</t>
  </si>
  <si>
    <t>0026186</t>
  </si>
  <si>
    <t>0023835</t>
  </si>
  <si>
    <t>0026196</t>
  </si>
  <si>
    <t>0023187</t>
  </si>
  <si>
    <t>0005448</t>
  </si>
  <si>
    <t>0021983</t>
  </si>
  <si>
    <t>CBK Reversal - Recvd</t>
  </si>
  <si>
    <t>0021787</t>
  </si>
  <si>
    <t>2019613</t>
  </si>
  <si>
    <t>Voided 101.42, Received 84.68, Financial Adj 32.92</t>
  </si>
  <si>
    <t>2029413</t>
  </si>
  <si>
    <t>2039708</t>
  </si>
  <si>
    <t>Voided 53.95, Received 38.85, Financial Adj 15.10</t>
  </si>
  <si>
    <t>2022893</t>
  </si>
  <si>
    <t xml:space="preserve">Did not receive funding-AMEX </t>
  </si>
  <si>
    <t>2019012</t>
  </si>
  <si>
    <t>2024973</t>
  </si>
  <si>
    <t>2027090</t>
  </si>
  <si>
    <t>2024062</t>
  </si>
  <si>
    <t>2024845</t>
  </si>
  <si>
    <t>2024960</t>
  </si>
  <si>
    <t>2026703</t>
  </si>
  <si>
    <t>2027233</t>
  </si>
  <si>
    <t>2024865</t>
  </si>
  <si>
    <t>2026753</t>
  </si>
  <si>
    <t>2023453</t>
  </si>
  <si>
    <t>2021578</t>
  </si>
  <si>
    <t>2024953</t>
  </si>
  <si>
    <t>2028471</t>
  </si>
  <si>
    <t>2027769</t>
  </si>
  <si>
    <t>2027887</t>
  </si>
  <si>
    <t>20236165</t>
  </si>
  <si>
    <t>2028432</t>
  </si>
  <si>
    <t>2027547</t>
  </si>
  <si>
    <t>2031004</t>
  </si>
  <si>
    <t>2028243</t>
  </si>
  <si>
    <t>2031255</t>
  </si>
  <si>
    <t>2028410</t>
  </si>
  <si>
    <t>2026807</t>
  </si>
  <si>
    <t>2027190</t>
  </si>
  <si>
    <t>2027243</t>
  </si>
  <si>
    <t>2027051</t>
  </si>
  <si>
    <t>2022993</t>
  </si>
  <si>
    <t>2023995</t>
  </si>
  <si>
    <t>2024328</t>
  </si>
  <si>
    <t>2027294</t>
  </si>
  <si>
    <t>2024862</t>
  </si>
  <si>
    <t>2027485</t>
  </si>
  <si>
    <t>2026908</t>
  </si>
  <si>
    <t>2026449</t>
  </si>
  <si>
    <t>2027224</t>
  </si>
  <si>
    <t>2023477</t>
  </si>
  <si>
    <t>2024332</t>
  </si>
  <si>
    <t>2025151</t>
  </si>
  <si>
    <t>2024747</t>
  </si>
  <si>
    <t>2024061</t>
  </si>
  <si>
    <t>2024054</t>
  </si>
  <si>
    <t>2023752</t>
  </si>
  <si>
    <t>2026990</t>
  </si>
  <si>
    <t>2024233</t>
  </si>
  <si>
    <t>2025059</t>
  </si>
  <si>
    <t>2024269</t>
  </si>
  <si>
    <t>3024449</t>
  </si>
  <si>
    <t>2024937</t>
  </si>
  <si>
    <t>2026921</t>
  </si>
  <si>
    <t>2025216</t>
  </si>
  <si>
    <t>2023785</t>
  </si>
  <si>
    <t>2023943</t>
  </si>
  <si>
    <t>2030091</t>
  </si>
  <si>
    <t>2024735</t>
  </si>
  <si>
    <t>2025234</t>
  </si>
  <si>
    <t>2027064</t>
  </si>
  <si>
    <t>2024955</t>
  </si>
  <si>
    <t>2027311</t>
  </si>
  <si>
    <t>2027687</t>
  </si>
  <si>
    <t>2026761</t>
  </si>
  <si>
    <t>2023637</t>
  </si>
  <si>
    <t>2024850</t>
  </si>
  <si>
    <t>2026315</t>
  </si>
  <si>
    <t>2029802</t>
  </si>
  <si>
    <t>2024859</t>
  </si>
  <si>
    <t>2025408</t>
  </si>
  <si>
    <t>2028061</t>
  </si>
  <si>
    <t>2027453</t>
  </si>
  <si>
    <t>2025081</t>
  </si>
  <si>
    <t>2026804</t>
  </si>
  <si>
    <t>2023976</t>
  </si>
  <si>
    <t>2026488</t>
  </si>
  <si>
    <t>2028182</t>
  </si>
  <si>
    <t>2029055</t>
  </si>
  <si>
    <t>2029023</t>
  </si>
  <si>
    <t>2028201</t>
  </si>
  <si>
    <t>2026894</t>
  </si>
  <si>
    <t>2027761</t>
  </si>
  <si>
    <t>2026977</t>
  </si>
  <si>
    <t>2027641</t>
  </si>
  <si>
    <t>2025171</t>
  </si>
  <si>
    <t>2026603</t>
  </si>
  <si>
    <t>2026778</t>
  </si>
  <si>
    <t>2027715</t>
  </si>
  <si>
    <t>2027873</t>
  </si>
  <si>
    <t>2028007</t>
  </si>
  <si>
    <t>2028236</t>
  </si>
  <si>
    <t>2025141</t>
  </si>
  <si>
    <t>2027520</t>
  </si>
  <si>
    <t>2022815</t>
  </si>
  <si>
    <t>2024234</t>
  </si>
  <si>
    <t>2023546</t>
  </si>
  <si>
    <t>2024334</t>
  </si>
  <si>
    <t>2023855</t>
  </si>
  <si>
    <t>2026960</t>
  </si>
  <si>
    <t>2024562</t>
  </si>
  <si>
    <t>2025231</t>
  </si>
  <si>
    <t>2024962</t>
  </si>
  <si>
    <t>2025200</t>
  </si>
  <si>
    <t>2024899</t>
  </si>
  <si>
    <t>2026271</t>
  </si>
  <si>
    <t>2023564</t>
  </si>
  <si>
    <t>2023530</t>
  </si>
  <si>
    <t>2024121</t>
  </si>
  <si>
    <t>2027367</t>
  </si>
  <si>
    <t>2023845</t>
  </si>
  <si>
    <t>2023652</t>
  </si>
  <si>
    <t>2023174</t>
  </si>
  <si>
    <t>2022430</t>
  </si>
  <si>
    <t>2025372</t>
  </si>
  <si>
    <t>2023457</t>
  </si>
  <si>
    <t>2029558</t>
  </si>
  <si>
    <t>Received</t>
  </si>
  <si>
    <t>0033851</t>
  </si>
  <si>
    <t>0037584</t>
  </si>
  <si>
    <t>0040618</t>
  </si>
  <si>
    <t>0037503</t>
  </si>
  <si>
    <t>0035178</t>
  </si>
  <si>
    <t xml:space="preserve">Previous Sale Transaction-Credit Recvd This Week (Wash) </t>
  </si>
  <si>
    <t>0041053</t>
  </si>
  <si>
    <t>Missing Sale Transactions  - credit rec'vd following week</t>
  </si>
  <si>
    <t>0034752</t>
  </si>
  <si>
    <t>0031898</t>
  </si>
  <si>
    <t>376216808992</t>
  </si>
  <si>
    <t>0058514</t>
  </si>
  <si>
    <t>376210027995</t>
  </si>
  <si>
    <t>0054545</t>
  </si>
  <si>
    <t>0048323</t>
  </si>
  <si>
    <t>0060971</t>
  </si>
  <si>
    <t>0061013</t>
  </si>
  <si>
    <t>0060719</t>
  </si>
  <si>
    <t>376232367999</t>
  </si>
  <si>
    <t>0058253</t>
  </si>
  <si>
    <t>376256617998</t>
  </si>
  <si>
    <t>0061421</t>
  </si>
  <si>
    <t>0061414</t>
  </si>
  <si>
    <t>376270811999</t>
  </si>
  <si>
    <t>0060270</t>
  </si>
  <si>
    <t>376265223994</t>
  </si>
  <si>
    <t>0061581</t>
  </si>
  <si>
    <t>0059612</t>
  </si>
  <si>
    <t>376266598998</t>
  </si>
  <si>
    <t>0061476</t>
  </si>
  <si>
    <t>0060625</t>
  </si>
  <si>
    <t>376258424997</t>
  </si>
  <si>
    <t>0061601</t>
  </si>
  <si>
    <t>0061610</t>
  </si>
  <si>
    <t>0060679</t>
  </si>
  <si>
    <t>376273272991</t>
  </si>
  <si>
    <t>0059760</t>
  </si>
  <si>
    <t>376270403995</t>
  </si>
  <si>
    <t>0059214</t>
  </si>
  <si>
    <t>376271817995</t>
  </si>
  <si>
    <t>0060705</t>
  </si>
  <si>
    <t>376272331996</t>
  </si>
  <si>
    <t>0061526</t>
  </si>
  <si>
    <t>376252528991</t>
  </si>
  <si>
    <t>376258555998</t>
  </si>
  <si>
    <t>0060045</t>
  </si>
  <si>
    <t>376212550994</t>
  </si>
  <si>
    <t>0060896</t>
  </si>
  <si>
    <t>376211515998</t>
  </si>
  <si>
    <t>0060005</t>
  </si>
  <si>
    <t>376222638995</t>
  </si>
  <si>
    <t>0060281</t>
  </si>
  <si>
    <t>376262044997</t>
  </si>
  <si>
    <t>0061537</t>
  </si>
  <si>
    <t>0061263</t>
  </si>
  <si>
    <t>376237096999</t>
  </si>
  <si>
    <t>0059349</t>
  </si>
  <si>
    <t>376269683995</t>
  </si>
  <si>
    <t>0054883</t>
  </si>
  <si>
    <t>376254931995</t>
  </si>
  <si>
    <t>0061433</t>
  </si>
  <si>
    <t>376264359997</t>
  </si>
  <si>
    <t>0060179</t>
  </si>
  <si>
    <t>0060533</t>
  </si>
  <si>
    <t>376269195990</t>
  </si>
  <si>
    <t>0061538</t>
  </si>
  <si>
    <t>376236447995</t>
  </si>
  <si>
    <t>0060647</t>
  </si>
  <si>
    <t>376266738990</t>
  </si>
  <si>
    <t>0057293</t>
  </si>
  <si>
    <t>376271509998</t>
  </si>
  <si>
    <t>0060085</t>
  </si>
  <si>
    <t>376264935994</t>
  </si>
  <si>
    <t>0060597</t>
  </si>
  <si>
    <t>376271081998</t>
  </si>
  <si>
    <t>0061477</t>
  </si>
  <si>
    <t>0060612</t>
  </si>
  <si>
    <t>376265161996</t>
  </si>
  <si>
    <t>0060236</t>
  </si>
  <si>
    <t>376254072998</t>
  </si>
  <si>
    <t>0061384</t>
  </si>
  <si>
    <t>376271512992</t>
  </si>
  <si>
    <t>0060726</t>
  </si>
  <si>
    <t>376264649991</t>
  </si>
  <si>
    <t>0060011</t>
  </si>
  <si>
    <t>376229042993</t>
  </si>
  <si>
    <t>0061403</t>
  </si>
  <si>
    <t>0061124</t>
  </si>
  <si>
    <t>376266545999</t>
  </si>
  <si>
    <t>376271999991</t>
  </si>
  <si>
    <t>0060635</t>
  </si>
  <si>
    <t>0061435</t>
  </si>
  <si>
    <t>0060154</t>
  </si>
  <si>
    <t>0061389</t>
  </si>
  <si>
    <t>0059422</t>
  </si>
  <si>
    <t>2064202</t>
  </si>
  <si>
    <t>2071874</t>
  </si>
  <si>
    <t>2077540</t>
  </si>
  <si>
    <t>2060779</t>
  </si>
  <si>
    <t>2073862</t>
  </si>
  <si>
    <t>Voided $151.84, Received 109.33, Financial Adj $42.51</t>
  </si>
  <si>
    <t>2074355</t>
  </si>
  <si>
    <t>2071501</t>
  </si>
  <si>
    <t>2059083</t>
  </si>
  <si>
    <t>Amex to Void</t>
  </si>
  <si>
    <t>2063608</t>
  </si>
  <si>
    <t>2063862</t>
  </si>
  <si>
    <t>2064949</t>
  </si>
  <si>
    <t>2059772</t>
  </si>
  <si>
    <t>2063611</t>
  </si>
  <si>
    <t>2064263</t>
  </si>
  <si>
    <t>2065877</t>
  </si>
  <si>
    <t>2065402</t>
  </si>
  <si>
    <t>2068178</t>
  </si>
  <si>
    <t>2067921</t>
  </si>
  <si>
    <t>2067854</t>
  </si>
  <si>
    <t>2072526</t>
  </si>
  <si>
    <t>2067896</t>
  </si>
  <si>
    <t>2079876</t>
  </si>
  <si>
    <t>2077265</t>
  </si>
  <si>
    <t>376271880993</t>
  </si>
  <si>
    <t>0072700</t>
  </si>
  <si>
    <t>376267792996</t>
  </si>
  <si>
    <t>0075529</t>
  </si>
  <si>
    <t>376272461991</t>
  </si>
  <si>
    <t>0078322</t>
  </si>
  <si>
    <t>Voided $151.79, Received $109.30, Financial Adj. $42.49</t>
  </si>
  <si>
    <t>2085666</t>
  </si>
  <si>
    <t xml:space="preserve">Amex Voided </t>
  </si>
  <si>
    <t>2085939</t>
  </si>
  <si>
    <t>2092455</t>
  </si>
  <si>
    <t>2083946</t>
  </si>
  <si>
    <t>2093198</t>
  </si>
  <si>
    <t>2093047</t>
  </si>
  <si>
    <t>2096614</t>
  </si>
  <si>
    <t>2095321</t>
  </si>
  <si>
    <t>2094716</t>
  </si>
  <si>
    <t>2100600</t>
  </si>
  <si>
    <t>2098787</t>
  </si>
  <si>
    <t>376272584990</t>
  </si>
  <si>
    <t>0100528</t>
  </si>
  <si>
    <t>0099294</t>
  </si>
  <si>
    <t>0101661</t>
  </si>
  <si>
    <t>376265080998</t>
  </si>
  <si>
    <t>0091890</t>
  </si>
  <si>
    <t>376750262994</t>
  </si>
  <si>
    <t>0084949</t>
  </si>
  <si>
    <t>376224905996</t>
  </si>
  <si>
    <t>0101022</t>
  </si>
  <si>
    <t>376271065991</t>
  </si>
  <si>
    <t>0101978</t>
  </si>
  <si>
    <t>376264597992</t>
  </si>
  <si>
    <t>0101883</t>
  </si>
  <si>
    <t>376258169998</t>
  </si>
  <si>
    <t>0101132</t>
  </si>
  <si>
    <t>376272793997</t>
  </si>
  <si>
    <t>0102018</t>
  </si>
  <si>
    <t>376270711991</t>
  </si>
  <si>
    <t>0098674</t>
  </si>
  <si>
    <t>376269121996</t>
  </si>
  <si>
    <t>0096471</t>
  </si>
  <si>
    <t>376267150997</t>
  </si>
  <si>
    <t>0098826</t>
  </si>
  <si>
    <t>0101507</t>
  </si>
  <si>
    <t>376258650997</t>
  </si>
  <si>
    <t>0093670</t>
  </si>
  <si>
    <t>376272290994</t>
  </si>
  <si>
    <t>0101880</t>
  </si>
  <si>
    <t>376270658994</t>
  </si>
  <si>
    <t>0098328</t>
  </si>
  <si>
    <t>0101211</t>
  </si>
  <si>
    <t>376271877999</t>
  </si>
  <si>
    <t>0099014</t>
  </si>
  <si>
    <t>376272037999</t>
  </si>
  <si>
    <t>0099998</t>
  </si>
  <si>
    <t>376265221998</t>
  </si>
  <si>
    <t>0100596</t>
  </si>
  <si>
    <t>376212033991</t>
  </si>
  <si>
    <t>0101500</t>
  </si>
  <si>
    <t>376240856991</t>
  </si>
  <si>
    <t>0102136</t>
  </si>
  <si>
    <t>376229514991</t>
  </si>
  <si>
    <t>0085688</t>
  </si>
  <si>
    <t>376273019996</t>
  </si>
  <si>
    <t>0099241</t>
  </si>
  <si>
    <t>376208854996</t>
  </si>
  <si>
    <t>0101824</t>
  </si>
  <si>
    <t>0096475</t>
  </si>
  <si>
    <t>376272161997</t>
  </si>
  <si>
    <t>0099218</t>
  </si>
  <si>
    <t>376232874994</t>
  </si>
  <si>
    <t>0102088</t>
  </si>
  <si>
    <t>376209500994</t>
  </si>
  <si>
    <t>0101737</t>
  </si>
  <si>
    <t>376272640990</t>
  </si>
  <si>
    <t>0098887</t>
  </si>
  <si>
    <t>376248775995</t>
  </si>
  <si>
    <t>0101236</t>
  </si>
  <si>
    <t>376254767993</t>
  </si>
  <si>
    <t>0099918</t>
  </si>
  <si>
    <t>0100533</t>
  </si>
  <si>
    <t>376265433999</t>
  </si>
  <si>
    <t>0089885</t>
  </si>
  <si>
    <t>376264260997</t>
  </si>
  <si>
    <t>0099709</t>
  </si>
  <si>
    <t>0101140</t>
  </si>
  <si>
    <t>376259118994</t>
  </si>
  <si>
    <t>0084370</t>
  </si>
  <si>
    <t>376258776990</t>
  </si>
  <si>
    <t>0100692</t>
  </si>
  <si>
    <t>376273430995</t>
  </si>
  <si>
    <t>0099410</t>
  </si>
  <si>
    <t>376222024998</t>
  </si>
  <si>
    <t>0094858</t>
  </si>
  <si>
    <t>0101373</t>
  </si>
  <si>
    <t>376273156996</t>
  </si>
  <si>
    <t>0098705</t>
  </si>
  <si>
    <t>376265485999</t>
  </si>
  <si>
    <t>0098048</t>
  </si>
  <si>
    <t>376271150991</t>
  </si>
  <si>
    <t>0101249</t>
  </si>
  <si>
    <t>0099135</t>
  </si>
  <si>
    <t>376230918991</t>
  </si>
  <si>
    <t>0099096</t>
  </si>
  <si>
    <t>376272716998</t>
  </si>
  <si>
    <t>0100544</t>
  </si>
  <si>
    <t>376263756995</t>
  </si>
  <si>
    <t>0101472</t>
  </si>
  <si>
    <t>0101806</t>
  </si>
  <si>
    <t>376271064994</t>
  </si>
  <si>
    <t>0101761</t>
  </si>
  <si>
    <t>0097411</t>
  </si>
  <si>
    <t>376273424998</t>
  </si>
  <si>
    <t>0099641</t>
  </si>
  <si>
    <t>376214101994</t>
  </si>
  <si>
    <t>0101916</t>
  </si>
  <si>
    <t>376269944991</t>
  </si>
  <si>
    <t>0098076</t>
  </si>
  <si>
    <t>376265294995</t>
  </si>
  <si>
    <t>0101979</t>
  </si>
  <si>
    <t>376210173997</t>
  </si>
  <si>
    <t>0098073</t>
  </si>
  <si>
    <t>376258526999</t>
  </si>
  <si>
    <t>0099669</t>
  </si>
  <si>
    <t>376265267991</t>
  </si>
  <si>
    <t>0099540</t>
  </si>
  <si>
    <t>376262770997</t>
  </si>
  <si>
    <t>0100840</t>
  </si>
  <si>
    <t>376271047999</t>
  </si>
  <si>
    <t>0099370</t>
  </si>
  <si>
    <t>376268527995</t>
  </si>
  <si>
    <t>0099671</t>
  </si>
  <si>
    <t>376264702998</t>
  </si>
  <si>
    <t>0099563</t>
  </si>
  <si>
    <t>376208193999</t>
  </si>
  <si>
    <t>0099262</t>
  </si>
  <si>
    <t>0101585</t>
  </si>
  <si>
    <t>376212521995</t>
  </si>
  <si>
    <t>0101566</t>
  </si>
  <si>
    <t>0101660</t>
  </si>
  <si>
    <t>376209120991</t>
  </si>
  <si>
    <t>0096591</t>
  </si>
  <si>
    <t>376263682993</t>
  </si>
  <si>
    <t>0099683</t>
  </si>
  <si>
    <t>376271982997</t>
  </si>
  <si>
    <t>0100440</t>
  </si>
  <si>
    <t>376259441990</t>
  </si>
  <si>
    <t>0095995</t>
  </si>
  <si>
    <t>376267173999</t>
  </si>
  <si>
    <t>0101743</t>
  </si>
  <si>
    <t>376272797998</t>
  </si>
  <si>
    <t>0101898</t>
  </si>
  <si>
    <t>376268992991</t>
  </si>
  <si>
    <t>0097742</t>
  </si>
  <si>
    <t>0098396</t>
  </si>
  <si>
    <t>376256579990</t>
  </si>
  <si>
    <t xml:space="preserve">Missing Transactions--Cannot See in Clientline </t>
  </si>
  <si>
    <t>376273105993</t>
  </si>
  <si>
    <t>376255638995</t>
  </si>
  <si>
    <t>376272434998</t>
  </si>
  <si>
    <t>376267130999</t>
  </si>
  <si>
    <t>376272516992</t>
  </si>
  <si>
    <t>376266888993</t>
  </si>
  <si>
    <t>EF</t>
  </si>
  <si>
    <t>376273440994</t>
  </si>
  <si>
    <t>376271434999</t>
  </si>
  <si>
    <t>376272153994</t>
  </si>
  <si>
    <t>0115586</t>
  </si>
  <si>
    <t>Duplicate transaction - processed twice - rec'vd credit the following week</t>
  </si>
  <si>
    <t>376272393996</t>
  </si>
  <si>
    <t>0116075</t>
  </si>
  <si>
    <t>376266432990</t>
  </si>
  <si>
    <t>0117024</t>
  </si>
  <si>
    <t>376267071995</t>
  </si>
  <si>
    <t>0116129</t>
  </si>
  <si>
    <t>376257528996</t>
  </si>
  <si>
    <t>0117010</t>
  </si>
  <si>
    <t>0116528</t>
  </si>
  <si>
    <t>376271511994</t>
  </si>
  <si>
    <t>0118195</t>
  </si>
  <si>
    <t>376265573992</t>
  </si>
  <si>
    <t>0117733</t>
  </si>
  <si>
    <t>376212489995</t>
  </si>
  <si>
    <t>0116707</t>
  </si>
  <si>
    <t>0115852</t>
  </si>
  <si>
    <t>376231834999</t>
  </si>
  <si>
    <t>0116169</t>
  </si>
  <si>
    <t>0111954</t>
  </si>
  <si>
    <t>376267097990</t>
  </si>
  <si>
    <t>0115661</t>
  </si>
  <si>
    <t>376270800992</t>
  </si>
  <si>
    <t>0115992</t>
  </si>
  <si>
    <t>376227533993</t>
  </si>
  <si>
    <t>0108773</t>
  </si>
  <si>
    <t>376242014995</t>
  </si>
  <si>
    <t>0111852</t>
  </si>
  <si>
    <t>376214985990</t>
  </si>
  <si>
    <t>0116865</t>
  </si>
  <si>
    <t>376272888995</t>
  </si>
  <si>
    <t>0118814</t>
  </si>
  <si>
    <t>376269950998</t>
  </si>
  <si>
    <t>0115575</t>
  </si>
  <si>
    <t>376229501998</t>
  </si>
  <si>
    <t>0118808</t>
  </si>
  <si>
    <t>376271584991</t>
  </si>
  <si>
    <t>0118537</t>
  </si>
  <si>
    <t>376270949997</t>
  </si>
  <si>
    <t>0116185</t>
  </si>
  <si>
    <t>376230920997</t>
  </si>
  <si>
    <t>0114677</t>
  </si>
  <si>
    <t>376271144994</t>
  </si>
  <si>
    <t>0116187</t>
  </si>
  <si>
    <t>376271571998</t>
  </si>
  <si>
    <t>0116086</t>
  </si>
  <si>
    <t>0116084</t>
  </si>
  <si>
    <t>376264033998</t>
  </si>
  <si>
    <t>0117093</t>
  </si>
  <si>
    <t>0115883</t>
  </si>
  <si>
    <t>0116026</t>
  </si>
  <si>
    <t>376270209996</t>
  </si>
  <si>
    <t>0119074</t>
  </si>
  <si>
    <t>0114725</t>
  </si>
  <si>
    <t>376272222997</t>
  </si>
  <si>
    <t>0107769</t>
  </si>
  <si>
    <t>0118358</t>
  </si>
  <si>
    <t>0118196</t>
  </si>
  <si>
    <t>376273302996</t>
  </si>
  <si>
    <t>376265763999</t>
  </si>
  <si>
    <t>376256941992</t>
  </si>
  <si>
    <t>376273411995</t>
  </si>
  <si>
    <t>376252904994</t>
  </si>
  <si>
    <t>376273547996</t>
  </si>
  <si>
    <t>376273573992</t>
  </si>
  <si>
    <t>376269679993</t>
  </si>
  <si>
    <t>376272496997</t>
  </si>
  <si>
    <t>376255172995</t>
  </si>
  <si>
    <t>376272211990</t>
  </si>
  <si>
    <t>376272410998</t>
  </si>
  <si>
    <t>0114899</t>
  </si>
  <si>
    <t>0116071</t>
  </si>
  <si>
    <t>113732</t>
  </si>
  <si>
    <t>011876</t>
  </si>
  <si>
    <t>376272924998</t>
  </si>
  <si>
    <t>376273166995</t>
  </si>
  <si>
    <t>221224755993</t>
  </si>
  <si>
    <t>Did not receive funding</t>
  </si>
  <si>
    <t>376238825990</t>
  </si>
  <si>
    <t>Tax Levy Hold</t>
  </si>
  <si>
    <t>2126135</t>
  </si>
  <si>
    <t>Voided 481.14, Received 370.09, Fin. Adj 111.05</t>
  </si>
  <si>
    <t>2143938</t>
  </si>
  <si>
    <t>2143628</t>
  </si>
  <si>
    <t>2127319</t>
  </si>
  <si>
    <t>2151492</t>
  </si>
  <si>
    <t>2160402</t>
  </si>
  <si>
    <t>2138076</t>
  </si>
  <si>
    <t>2141661</t>
  </si>
  <si>
    <t>2145004</t>
  </si>
  <si>
    <t>2145006</t>
  </si>
  <si>
    <t>2142338</t>
  </si>
  <si>
    <t>2147663</t>
  </si>
  <si>
    <t>2154451</t>
  </si>
  <si>
    <t>2157885</t>
  </si>
  <si>
    <t>2154645</t>
  </si>
  <si>
    <t>2142995</t>
  </si>
  <si>
    <t>Amex to void, no split</t>
  </si>
  <si>
    <t>2137285</t>
  </si>
  <si>
    <t>2143078</t>
  </si>
  <si>
    <t>2144425</t>
  </si>
  <si>
    <t>2143126</t>
  </si>
  <si>
    <t>2143279</t>
  </si>
  <si>
    <t>2137818</t>
  </si>
  <si>
    <t>2143272</t>
  </si>
  <si>
    <t>2144555</t>
  </si>
  <si>
    <t>2143287</t>
  </si>
  <si>
    <t>2143254</t>
  </si>
  <si>
    <t>2144713</t>
  </si>
  <si>
    <t>2145449</t>
  </si>
  <si>
    <t>2150350</t>
  </si>
  <si>
    <t>2153675</t>
  </si>
  <si>
    <t>2150996</t>
  </si>
  <si>
    <t>2146624</t>
  </si>
  <si>
    <t>2154455</t>
  </si>
  <si>
    <t>2157032</t>
  </si>
  <si>
    <t>2157598</t>
  </si>
  <si>
    <t>2160410</t>
  </si>
  <si>
    <t>376273676993</t>
  </si>
  <si>
    <t>2158421</t>
  </si>
  <si>
    <t>This has been voided/adjusted for, this was funding not received and not a missing credit transaction</t>
  </si>
  <si>
    <t>376271560991</t>
  </si>
  <si>
    <t>140189</t>
  </si>
  <si>
    <t xml:space="preserve">Duplicate Processing Credit Received </t>
  </si>
  <si>
    <t>376273713994</t>
  </si>
  <si>
    <t xml:space="preserve">Missing Transaction-Cannot See in Client Line </t>
  </si>
  <si>
    <t>376267932998</t>
  </si>
  <si>
    <t>376268737990</t>
  </si>
  <si>
    <t>376273585996</t>
  </si>
  <si>
    <t>376272352992</t>
  </si>
  <si>
    <t>Cannot See in Client Line</t>
  </si>
  <si>
    <t>376273086995</t>
  </si>
  <si>
    <t xml:space="preserve">Void-Did Not Receive Funding </t>
  </si>
  <si>
    <t>376222835997</t>
  </si>
  <si>
    <t>TL Holds, Voided 13.50, Received 9.72, Fin. Adj 3.78</t>
  </si>
  <si>
    <t>Amex voided, funding not received</t>
  </si>
  <si>
    <t>Rec'vd trans in PBS Database</t>
  </si>
  <si>
    <t>0176168</t>
  </si>
  <si>
    <t xml:space="preserve">Cannot See in Clientline-Missing Credit Transaction </t>
  </si>
  <si>
    <t>2167555</t>
  </si>
  <si>
    <t xml:space="preserve">Missing Credit Transaction --Cannot See in Client Line .  Cannot See in PBS </t>
  </si>
  <si>
    <t>2190475</t>
  </si>
  <si>
    <t>2190588</t>
  </si>
  <si>
    <t>2185832</t>
  </si>
  <si>
    <t>Amex voided, did not receive funding</t>
  </si>
  <si>
    <t>2185050</t>
  </si>
  <si>
    <t>2185533</t>
  </si>
  <si>
    <t>2186801</t>
  </si>
  <si>
    <t>2182544</t>
  </si>
  <si>
    <t>2186349</t>
  </si>
  <si>
    <t>2187860</t>
  </si>
  <si>
    <t>2190941</t>
  </si>
  <si>
    <t>2187810</t>
  </si>
  <si>
    <t>2195109</t>
  </si>
  <si>
    <t>2193648</t>
  </si>
  <si>
    <t>2195190</t>
  </si>
  <si>
    <t>07/24/16 - 07/30/16</t>
  </si>
  <si>
    <t>0197248</t>
  </si>
  <si>
    <t xml:space="preserve">Received Funding </t>
  </si>
  <si>
    <t xml:space="preserve">Missing Transaction-Cannot See in ClientLine </t>
  </si>
  <si>
    <t xml:space="preserve">Cannot Find MID </t>
  </si>
  <si>
    <t>2199368</t>
  </si>
  <si>
    <t>Amex, Void Did not Receive Funding</t>
  </si>
  <si>
    <t>2199357</t>
  </si>
  <si>
    <t>2202768</t>
  </si>
  <si>
    <t>2216404</t>
  </si>
  <si>
    <t>Void did not Receive Funding</t>
  </si>
  <si>
    <t>2202887</t>
  </si>
  <si>
    <t>Amex that needs voided is $713.44 since 52.11 was voided last week during the Clinic Reconciliation</t>
  </si>
  <si>
    <t>2205998</t>
  </si>
  <si>
    <t>2205547</t>
  </si>
  <si>
    <t>2211915</t>
  </si>
  <si>
    <t>2210899</t>
  </si>
  <si>
    <t>2205668</t>
  </si>
  <si>
    <t>2214550</t>
  </si>
  <si>
    <t>2208364</t>
  </si>
  <si>
    <t>2215500</t>
  </si>
  <si>
    <t>2216833</t>
  </si>
  <si>
    <t>2214633</t>
  </si>
  <si>
    <t>376227270992</t>
  </si>
  <si>
    <t>0213681</t>
  </si>
  <si>
    <t>376216195994</t>
  </si>
  <si>
    <t>0221536</t>
  </si>
  <si>
    <t>376273273999</t>
  </si>
  <si>
    <t>0216285</t>
  </si>
  <si>
    <t>0219039</t>
  </si>
  <si>
    <t>376273006993</t>
  </si>
  <si>
    <t>376265715999</t>
  </si>
  <si>
    <t>0219300</t>
  </si>
  <si>
    <t>2228231</t>
  </si>
  <si>
    <t>2228229</t>
  </si>
  <si>
    <t>2223409</t>
  </si>
  <si>
    <t>2227991</t>
  </si>
  <si>
    <t>2228687</t>
  </si>
  <si>
    <t>2227906</t>
  </si>
  <si>
    <t>2231356</t>
  </si>
  <si>
    <t>2228844</t>
  </si>
  <si>
    <t>2238985</t>
  </si>
  <si>
    <t>2228815</t>
  </si>
  <si>
    <t>2239491</t>
  </si>
  <si>
    <t>2238300</t>
  </si>
  <si>
    <t>2236314</t>
  </si>
  <si>
    <t>2238497</t>
  </si>
  <si>
    <t>2224560</t>
  </si>
  <si>
    <t>Amex voided, no split report</t>
  </si>
  <si>
    <t>2224964</t>
  </si>
  <si>
    <t>2225292</t>
  </si>
  <si>
    <t>2222685</t>
  </si>
  <si>
    <t>2218539</t>
  </si>
  <si>
    <t>2225240</t>
  </si>
  <si>
    <t>2236059</t>
  </si>
  <si>
    <t>2233120</t>
  </si>
  <si>
    <t>2231212</t>
  </si>
  <si>
    <t>2232462</t>
  </si>
  <si>
    <t>2232524</t>
  </si>
  <si>
    <t>2235940</t>
  </si>
  <si>
    <t>2238773</t>
  </si>
  <si>
    <t>2239017</t>
  </si>
  <si>
    <t>2236323</t>
  </si>
  <si>
    <t>2236505</t>
  </si>
  <si>
    <t>376271656997</t>
  </si>
  <si>
    <t>0238761</t>
  </si>
  <si>
    <t>0232531</t>
  </si>
  <si>
    <t>2238434</t>
  </si>
  <si>
    <t>Void, did not receive funding</t>
  </si>
  <si>
    <t>2243441</t>
  </si>
  <si>
    <t>2255786</t>
  </si>
  <si>
    <t>2255433</t>
  </si>
  <si>
    <t>2252209</t>
  </si>
  <si>
    <t>2249296</t>
  </si>
  <si>
    <t>2246634</t>
  </si>
  <si>
    <t>2252897</t>
  </si>
  <si>
    <t>2241893</t>
  </si>
  <si>
    <t>2258421</t>
  </si>
  <si>
    <t>2259282</t>
  </si>
  <si>
    <t>TL Holds, Voided $13.50, Received $9.72, Fin. Adj $3.78</t>
  </si>
  <si>
    <t>2244815</t>
  </si>
  <si>
    <t>2242584</t>
  </si>
  <si>
    <t>2244808</t>
  </si>
  <si>
    <t>2242914</t>
  </si>
  <si>
    <t>2241869</t>
  </si>
  <si>
    <t>2248015</t>
  </si>
  <si>
    <t>2244801</t>
  </si>
  <si>
    <t>2254755</t>
  </si>
  <si>
    <t>2252361</t>
  </si>
  <si>
    <t>2253678</t>
  </si>
  <si>
    <t>2261428</t>
  </si>
  <si>
    <t>2260320</t>
  </si>
  <si>
    <t>376253117992</t>
  </si>
  <si>
    <t>0278290</t>
  </si>
  <si>
    <t>Amex voided, Funding not received- No Split Report</t>
  </si>
  <si>
    <t>2288571</t>
  </si>
  <si>
    <t xml:space="preserve">Void--Did not receive funding </t>
  </si>
  <si>
    <t>2280203</t>
  </si>
  <si>
    <t>2281089</t>
  </si>
  <si>
    <t>2273350</t>
  </si>
  <si>
    <t>2290630</t>
  </si>
  <si>
    <t>2282950</t>
  </si>
  <si>
    <t>2296535</t>
  </si>
  <si>
    <t>2284042</t>
  </si>
  <si>
    <t xml:space="preserve">Amex Voided-Did not receive funding </t>
  </si>
  <si>
    <t>2290296</t>
  </si>
  <si>
    <t>2280289</t>
  </si>
  <si>
    <t>2285773</t>
  </si>
  <si>
    <t>2291446</t>
  </si>
  <si>
    <t>2290133</t>
  </si>
  <si>
    <t>2295927</t>
  </si>
  <si>
    <t>2292987</t>
  </si>
  <si>
    <t>2288305</t>
  </si>
  <si>
    <t>2292101</t>
  </si>
  <si>
    <t>2287965</t>
  </si>
  <si>
    <t>2288492</t>
  </si>
  <si>
    <t>2299584</t>
  </si>
  <si>
    <t>2299358</t>
  </si>
  <si>
    <t xml:space="preserve">Voided-Did not receive funding </t>
  </si>
  <si>
    <t>2293127</t>
  </si>
  <si>
    <t>2304259</t>
  </si>
  <si>
    <t>2300723</t>
  </si>
  <si>
    <t>2309684</t>
  </si>
  <si>
    <t>2291000</t>
  </si>
  <si>
    <t>2301529</t>
  </si>
  <si>
    <t>Amex Voided, Did not receive funding No split Report</t>
  </si>
  <si>
    <t>2303741</t>
  </si>
  <si>
    <t>2305328</t>
  </si>
  <si>
    <t>2306992</t>
  </si>
  <si>
    <t>2305814</t>
  </si>
  <si>
    <t>2304448</t>
  </si>
  <si>
    <t>376274249998</t>
  </si>
  <si>
    <t>0303728</t>
  </si>
  <si>
    <t>376274240997</t>
  </si>
  <si>
    <t>376264323993</t>
  </si>
  <si>
    <t>376269406991</t>
  </si>
  <si>
    <t>03065</t>
  </si>
  <si>
    <t>376272497995</t>
  </si>
  <si>
    <t>0305196</t>
  </si>
  <si>
    <t>2306199</t>
  </si>
  <si>
    <t>2307783</t>
  </si>
  <si>
    <t>2307954</t>
  </si>
  <si>
    <t>2309065</t>
  </si>
  <si>
    <t>2310242</t>
  </si>
  <si>
    <t>2315710</t>
  </si>
  <si>
    <t>2320385</t>
  </si>
  <si>
    <t>2317033</t>
  </si>
  <si>
    <t>2312049</t>
  </si>
  <si>
    <t>2303479</t>
  </si>
  <si>
    <t>2289916</t>
  </si>
  <si>
    <t>2308495</t>
  </si>
  <si>
    <t>2321998</t>
  </si>
  <si>
    <t>2311431</t>
  </si>
  <si>
    <t>Amex Voided, Did not Receive Funding,</t>
  </si>
  <si>
    <t>2309263</t>
  </si>
  <si>
    <t>2311787</t>
  </si>
  <si>
    <t>2311850</t>
  </si>
  <si>
    <t>2312152</t>
  </si>
  <si>
    <t>2318349</t>
  </si>
  <si>
    <t>2318433</t>
  </si>
  <si>
    <t>2322957</t>
  </si>
  <si>
    <t>2320557</t>
  </si>
  <si>
    <t>2321129</t>
  </si>
  <si>
    <t>2323095</t>
  </si>
  <si>
    <t>376269258996</t>
  </si>
  <si>
    <t>0326312</t>
  </si>
  <si>
    <t>376214472999</t>
  </si>
  <si>
    <t>0317662</t>
  </si>
  <si>
    <t>2323507</t>
  </si>
  <si>
    <t>2336801</t>
  </si>
  <si>
    <t>2330949</t>
  </si>
  <si>
    <t>2327759</t>
  </si>
  <si>
    <t>2340218</t>
  </si>
  <si>
    <t>2337212</t>
  </si>
  <si>
    <t>2337980</t>
  </si>
  <si>
    <t>2333686</t>
  </si>
  <si>
    <t>2332554</t>
  </si>
  <si>
    <t>2340239</t>
  </si>
  <si>
    <t>2342204</t>
  </si>
  <si>
    <t>2349685</t>
  </si>
  <si>
    <t>2328430</t>
  </si>
  <si>
    <t xml:space="preserve">Amex, Void did not receive funding. </t>
  </si>
  <si>
    <t>2329585</t>
  </si>
  <si>
    <t>2331149</t>
  </si>
  <si>
    <t>2329719</t>
  </si>
  <si>
    <t>2329231</t>
  </si>
  <si>
    <t>2328457</t>
  </si>
  <si>
    <t>2333691</t>
  </si>
  <si>
    <t>2340459</t>
  </si>
  <si>
    <t>2337150</t>
  </si>
  <si>
    <t>2338056</t>
  </si>
  <si>
    <t>2337826</t>
  </si>
  <si>
    <t>2334862</t>
  </si>
  <si>
    <t>2330748</t>
  </si>
  <si>
    <t>2345002</t>
  </si>
  <si>
    <t xml:space="preserve">Missing Credit Transaction/Refund </t>
  </si>
  <si>
    <t>this relates to the missing transaction above, this is a wash</t>
  </si>
  <si>
    <t>0343186</t>
  </si>
  <si>
    <t>0348353</t>
  </si>
  <si>
    <t>2349242</t>
  </si>
  <si>
    <t>2349495</t>
  </si>
  <si>
    <t>2353105</t>
  </si>
  <si>
    <t>2354559</t>
  </si>
  <si>
    <t>2350705</t>
  </si>
  <si>
    <t>2350869</t>
  </si>
  <si>
    <t>2349482</t>
  </si>
  <si>
    <t>2349492</t>
  </si>
  <si>
    <t>2349734</t>
  </si>
  <si>
    <t>2350918</t>
  </si>
  <si>
    <t>2355303</t>
  </si>
  <si>
    <t>2350107</t>
  </si>
  <si>
    <t>2361819</t>
  </si>
  <si>
    <t>2360232</t>
  </si>
  <si>
    <t>2358911</t>
  </si>
  <si>
    <t>2363378</t>
  </si>
  <si>
    <t>2365021</t>
  </si>
  <si>
    <t>23602442</t>
  </si>
  <si>
    <t>2363419</t>
  </si>
  <si>
    <t>2364461</t>
  </si>
  <si>
    <t>2366085</t>
  </si>
  <si>
    <t>2345017</t>
  </si>
  <si>
    <t>2345941</t>
  </si>
  <si>
    <t>2354689</t>
  </si>
  <si>
    <t>2356214</t>
  </si>
  <si>
    <t>2358061</t>
  </si>
  <si>
    <t>2362075</t>
  </si>
  <si>
    <t>2355291</t>
  </si>
  <si>
    <t>2354497</t>
  </si>
  <si>
    <t>2340805</t>
  </si>
  <si>
    <t>2350320</t>
  </si>
  <si>
    <t>2369748</t>
  </si>
  <si>
    <t>Void, did not receive funding; Unvoided Funding now received</t>
  </si>
  <si>
    <t>0368710</t>
  </si>
  <si>
    <t>0345808</t>
  </si>
  <si>
    <t>WASH with below</t>
  </si>
  <si>
    <t>0369180</t>
  </si>
  <si>
    <t>376261982999</t>
  </si>
  <si>
    <t>0365612</t>
  </si>
  <si>
    <t>376272504998</t>
  </si>
  <si>
    <t>0383691</t>
  </si>
  <si>
    <t>376272391990</t>
  </si>
  <si>
    <t>0380763</t>
  </si>
  <si>
    <t>376214034997</t>
  </si>
  <si>
    <t>0380553</t>
  </si>
  <si>
    <t>0383003</t>
  </si>
  <si>
    <t>376269338996</t>
  </si>
  <si>
    <t>0380592</t>
  </si>
  <si>
    <t>376265856991</t>
  </si>
  <si>
    <t>0379023</t>
  </si>
  <si>
    <t>376270522992</t>
  </si>
  <si>
    <t>0379251</t>
  </si>
  <si>
    <t>376274020993</t>
  </si>
  <si>
    <t>0378196</t>
  </si>
  <si>
    <t>0379050</t>
  </si>
  <si>
    <t>376273408991</t>
  </si>
  <si>
    <t>0377088</t>
  </si>
  <si>
    <t>376270422995</t>
  </si>
  <si>
    <t>0379958</t>
  </si>
  <si>
    <t>376228955997</t>
  </si>
  <si>
    <t>The VFC Portion will be adjusted for since this was not voided in time before the deposit.  Clinic portion has now been voided</t>
  </si>
  <si>
    <t>Refund</t>
  </si>
  <si>
    <t>This washes with the missing Transaction above</t>
  </si>
  <si>
    <t>0406277</t>
  </si>
  <si>
    <t>0420910</t>
  </si>
  <si>
    <t>10/23/16 - 10/29/16</t>
  </si>
  <si>
    <t>376266497993</t>
  </si>
  <si>
    <t>0466713</t>
  </si>
  <si>
    <t>376271607990</t>
  </si>
  <si>
    <t>0459944</t>
  </si>
  <si>
    <t>10/30/16 - 11/5/16</t>
  </si>
  <si>
    <t>0494293</t>
  </si>
  <si>
    <t>376273121990</t>
  </si>
  <si>
    <t>0484507</t>
  </si>
  <si>
    <t>376213088994</t>
  </si>
  <si>
    <t>0496331</t>
  </si>
  <si>
    <t>376266259997</t>
  </si>
  <si>
    <t>0508456</t>
  </si>
  <si>
    <t>376273959993</t>
  </si>
  <si>
    <t>0506169</t>
  </si>
  <si>
    <t>Missing Transaction - Trace ID 0577993</t>
  </si>
  <si>
    <t>Missing Transaction - Trace ID 0555875</t>
  </si>
  <si>
    <t>Missing Transaction - Trace ID 0581193</t>
  </si>
  <si>
    <t>01/15/17 - 01/21/17</t>
  </si>
  <si>
    <t>376272156997</t>
  </si>
  <si>
    <t>376274885999</t>
  </si>
  <si>
    <t>376274280993</t>
  </si>
  <si>
    <t>376273057996</t>
  </si>
  <si>
    <t xml:space="preserve">01/12/16 -  01/20/16 </t>
  </si>
  <si>
    <t>02/24/16 - 03/01/16</t>
  </si>
  <si>
    <t>03/22/16 - 03/29/16</t>
  </si>
  <si>
    <t>03//30/16 - 04/05/16</t>
  </si>
  <si>
    <t>04/06/16 - 04/12/16</t>
  </si>
  <si>
    <t>04/17/16 - 04/23/16</t>
  </si>
  <si>
    <t>04/13/16 - 04/19/16</t>
  </si>
  <si>
    <t>04/24/16 - 04/30/16</t>
  </si>
  <si>
    <t>05/01/16 - 05/07/16</t>
  </si>
  <si>
    <t>05/08/16 - 05/14/16</t>
  </si>
  <si>
    <t>05/22/16 - 05/28/16</t>
  </si>
  <si>
    <t>05/29/16 - 06/04/16</t>
  </si>
  <si>
    <t>06/19/16 - 06/25/16</t>
  </si>
  <si>
    <t>07/10/16 - 07/16/16</t>
  </si>
  <si>
    <t>07/31/16 - 08/06/16</t>
  </si>
  <si>
    <t>08/07/16 - 08/13/16</t>
  </si>
  <si>
    <t>08/21/16 - 08/27/16</t>
  </si>
  <si>
    <t>08/28/16 - 09/03/16</t>
  </si>
  <si>
    <t>09/05/16 - 09/10/16</t>
  </si>
  <si>
    <t>09/11/16 - 09/17/16</t>
  </si>
  <si>
    <t>09/18/16 - 09/24/16</t>
  </si>
  <si>
    <t>09/25/16 - 10/01/16</t>
  </si>
  <si>
    <t>09/18/16  - 9/24/16</t>
  </si>
  <si>
    <t>10/09/16 - 10/15/16</t>
  </si>
  <si>
    <t>10/30/16 - 11/05/16</t>
  </si>
  <si>
    <t>11/28/16 - 12/03/16</t>
  </si>
  <si>
    <t xml:space="preserve">Missing Transactions--Cannot See in Clientline ;  Recvd $70 for Order ID 2101368-Did not know remaining transactions that are missing </t>
  </si>
  <si>
    <t>Void did not receive funding</t>
  </si>
  <si>
    <t xml:space="preserve">Rec'vd was actually a net of Early Funding  and Previous Early Funding </t>
  </si>
  <si>
    <t>Missing Transaction-Cannot See in Client Line ;  This is actually a missing Credit Transaction for $68.81 instead of missing $111.95</t>
  </si>
  <si>
    <t xml:space="preserve">Rec'vd was actually a net of Early Funding and Prev ious Early Funding </t>
  </si>
  <si>
    <t xml:space="preserve">Rec'vd </t>
  </si>
  <si>
    <t xml:space="preserve">Rec'vd/ see Credit Below </t>
  </si>
  <si>
    <t xml:space="preserve">Missing Transaction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</si>
  <si>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01/22/17 - 01/28/17</t>
  </si>
  <si>
    <t>376272957998</t>
  </si>
  <si>
    <t>376261204998</t>
  </si>
  <si>
    <t>376273089999</t>
  </si>
  <si>
    <t>376274661994</t>
  </si>
  <si>
    <t>376270953999</t>
  </si>
  <si>
    <t>376213752995</t>
  </si>
  <si>
    <t>376262742996</t>
  </si>
  <si>
    <t>376271433991</t>
  </si>
  <si>
    <t>376262218997</t>
  </si>
  <si>
    <t>376274555998</t>
  </si>
  <si>
    <t>376267128993</t>
  </si>
  <si>
    <t>376274411994</t>
  </si>
  <si>
    <t>376274288996</t>
  </si>
  <si>
    <t>376273671994</t>
  </si>
  <si>
    <t>376272556998</t>
  </si>
  <si>
    <t>376272395991</t>
  </si>
  <si>
    <t>376274430994</t>
  </si>
  <si>
    <t>376271874996</t>
  </si>
  <si>
    <t>376274398993</t>
  </si>
  <si>
    <t>376256614995</t>
  </si>
  <si>
    <t>376231619994</t>
  </si>
  <si>
    <t>376275307993</t>
  </si>
  <si>
    <t>376273491997</t>
  </si>
  <si>
    <t xml:space="preserve">Missing Transaction ----The credit was received for the previous missing transaction on 1/22/17 - 1/28/17 funding </t>
  </si>
  <si>
    <t>Missing Credit Transaction --This is the credit transaction for the previous missing transaction for funding for 1/15/17 - 1/21/17</t>
  </si>
  <si>
    <t>TL Hold, Voided $545.05, Rec'vd $392.45, Fin. Adj. $152.60</t>
  </si>
  <si>
    <t xml:space="preserve">Vodied. Did not receive funding </t>
  </si>
  <si>
    <t xml:space="preserve">Amex Voided.  Funding not received </t>
  </si>
  <si>
    <t>This is showing up as Amex in Client Line and Visa in the  PBS database, voided this transaction</t>
  </si>
  <si>
    <t xml:space="preserve">Unvoided </t>
  </si>
  <si>
    <t xml:space="preserve"> (Funding Received)  TL Hold Voided $343.38 , Received $247.24, Fin. Adj. $96.14 </t>
  </si>
  <si>
    <t xml:space="preserve"> (Funding Received)  TL Hold Voided $51.95 , Received $37.41, Fin. Adj. $14.54</t>
  </si>
  <si>
    <t xml:space="preserve"> (Funding Received)  TL Hold, Voided $321.39, Rec'vd $231.41, Fin. Adj. $89.98</t>
  </si>
  <si>
    <t xml:space="preserve"> (Funding Received) TL Hold, Voided $210.37, Rec'vd $140.98, Fin. Adj. $69.39</t>
  </si>
  <si>
    <t xml:space="preserve"> (Funding Received) TL Hold Voided $186.68, Rec'vd $125.10, Fin. Adj. $61.58 </t>
  </si>
  <si>
    <t>(Funding Received) TL Hold, Voided $61.19, Rec'vd $41.01, Fin. Adj. $20.18</t>
  </si>
  <si>
    <t xml:space="preserve"> (Funding Received) TL Hold, Voided $259.48, Rec'vd $173.90, Fin. Adj. $85.58</t>
  </si>
  <si>
    <t>( Funding Received) TL Holds, Voided $78.61, Rec'vd $56.60, Fin. Adj. $22.01</t>
  </si>
  <si>
    <t xml:space="preserve"> (Funding Received) TL Hold Voided $450.77, Rec'vd $324.57, Fin. Adj. $126.20 </t>
  </si>
  <si>
    <t xml:space="preserve"> (Funding Received) TL Hold, Voided $64.60, Rec'vd $46.52, Fin. Adj. $18.08</t>
  </si>
  <si>
    <t>(Funding Received) TL Hold, Voided $118.35, Rec'vd $85.22, Fin. Adj. $33.13</t>
  </si>
  <si>
    <t xml:space="preserve"> (Funding Received) TL Hold Voided $110.14, Rec'vd $79.31, Fin. Adj. $30.83 </t>
  </si>
  <si>
    <t>(Funding Received)TL Hold, Voided $96.36, Rec'vd $69.39, Fin. Adj. $26.97</t>
  </si>
  <si>
    <t xml:space="preserve"> (Funding Received) TL Hold, Voided $173.03, Rec'vd $124.60, Fin. Adj. $48.43</t>
  </si>
  <si>
    <t>(Funding Received ) TL Hold, Voided $854.34, Rec'vd $615.15, Fin. Adj. $239.19</t>
  </si>
  <si>
    <t xml:space="preserve">(Funding Received) TL Hold Voided $1,473.56, Rec'vd $1,060.99, Fin. Adj. $412.57 </t>
  </si>
  <si>
    <t>(Funding Received) TL Hold, Voided $944.72, Rec'vd $677.42, Fin. Adj. $267.30</t>
  </si>
  <si>
    <t>(Funding Received) TL Hold. Voided $806.15; Recvd $580.46; Fin Adj $225.60</t>
  </si>
  <si>
    <t>(Funding Received) TL Hold, Voided $854.34, Rec'vd $615.15, Fin. Adj. $239.19</t>
  </si>
  <si>
    <t>(Funding Received) TL Holds, Voided $259.75, Rec'vd $187.03, Fin. Adj. $72.72</t>
  </si>
  <si>
    <t xml:space="preserve">(Fudning Received) TL Hold Voided $98.85, Rec'vd $71.18, Fin. Adj. $27.67 </t>
  </si>
  <si>
    <t xml:space="preserve">(Funding Received) TL Hold Voided $98.85, Rec'vd $71.18, Fin. Adj. $27.67 </t>
  </si>
  <si>
    <t>(Funding Received) TL Hold, Voided $77.85, Rec'vd $43.19, Fin. Adj. $34.66</t>
  </si>
  <si>
    <t>(Funding Received) TL Hold, Voided $545.05, Rec'vd $392.45, Fin. Adj. $152.60</t>
  </si>
  <si>
    <t>01/29/17 - 02/04/17</t>
  </si>
  <si>
    <t>376274796998</t>
  </si>
  <si>
    <t xml:space="preserve">Cannot see in ClientLIne. Voided Amex transactions.  </t>
  </si>
  <si>
    <t>376273676993 &amp; 376273713994</t>
  </si>
  <si>
    <t>Cannot see in Client Line. We are showing that both of these mids relate to each other</t>
  </si>
  <si>
    <t>376274148992</t>
  </si>
  <si>
    <t>376264466990</t>
  </si>
  <si>
    <t>376273860993</t>
  </si>
  <si>
    <t>376235668997</t>
  </si>
  <si>
    <t xml:space="preserve">Duplicate </t>
  </si>
  <si>
    <t>376272376991</t>
  </si>
  <si>
    <t>376272787999</t>
  </si>
  <si>
    <t>376272440995</t>
  </si>
  <si>
    <t>376266893993</t>
  </si>
  <si>
    <t>376273007991</t>
  </si>
  <si>
    <t>376266796998</t>
  </si>
  <si>
    <t>TL Hold, Voided $402.58, Rec'vd $269.74, Fin. Adj. $132.84</t>
  </si>
  <si>
    <t xml:space="preserve">Amex voided.  Did not receive funding </t>
  </si>
  <si>
    <t xml:space="preserve">Void, Did not receive funding </t>
  </si>
  <si>
    <t>Amex Voided, Did not receive funding</t>
  </si>
  <si>
    <t>TL Hold, Voided $39.17, Rec'vd $28.21, Fin. Adj. $10.96</t>
  </si>
  <si>
    <t>TL Hold Voided $433.31, Rec'vd $312 , Fin Adj $121.31</t>
  </si>
  <si>
    <t>(Funding Received) Missing Transactions</t>
  </si>
  <si>
    <t>02/05/17 - 02/11/17</t>
  </si>
  <si>
    <t>376271026993</t>
  </si>
  <si>
    <t>376209161995</t>
  </si>
  <si>
    <t>376224333991</t>
  </si>
  <si>
    <t>376267645996</t>
  </si>
  <si>
    <t>376274559990</t>
  </si>
  <si>
    <t xml:space="preserve">Voided.  Did not receive funding </t>
  </si>
  <si>
    <t xml:space="preserve">Voided.  Did not receive funding. This is being voided due to a financial adjustment </t>
  </si>
  <si>
    <t xml:space="preserve">Voided.  Did not receive funding .  This does not show up in Amex in ClientLine </t>
  </si>
  <si>
    <t>TL Holds, Voided $598.86; Rec'vd $431.20; Fin. Adj $167.66</t>
  </si>
  <si>
    <t>TL Holds, Voided $545.84; Rec'vd $393.02; Fin. Adj $152.82</t>
  </si>
  <si>
    <t>TL Holds, Voided $252.95; Rec'vd $169.50; Fin. Adj $83.45</t>
  </si>
  <si>
    <t>TL Holds, Voided $86.91; Rec'vd $62.59; Fin. Adj $24.32</t>
  </si>
  <si>
    <t>TL Holds, Voided $57.19; Rec'vd $41.18; Fin. Adj $16.01</t>
  </si>
  <si>
    <t>Voided.  Did not receive funding .  This is being voided due to a financial adjustment.  This does not show up as Amex in CL</t>
  </si>
  <si>
    <t>Voided.  Did not receive funding . This is being voided due to a financial adjustment.  This does not show up as Amex in ClientLine</t>
  </si>
  <si>
    <t xml:space="preserve">Voided. Did not receive funding.  This is being voided due to a financial adjustment.  This does not show up as Amex in ClientLine </t>
  </si>
  <si>
    <t>Paid to VFC - Feb 2/15/17</t>
  </si>
  <si>
    <t>TL Hold, Voided $1,411.76, Rec'vd $1,016.48, Fin. Adj. $395.28</t>
  </si>
  <si>
    <t>TL Hold, Voided $265.65, Rec'vd $178.02, Fin. Adj. $87.63</t>
  </si>
  <si>
    <t>TL Hold, Voided $247.58, Rec'vd $178.26, Fin. Adj. $69.32</t>
  </si>
  <si>
    <t>Voided, Did not Receive funding</t>
  </si>
  <si>
    <t>376274803992</t>
  </si>
  <si>
    <t>TL Hold, Voided $100.90, Rec'vd $72.66, Fin. Adj. $28.24</t>
  </si>
  <si>
    <t>TL Hold, Voided $94.23, Rec'vd $67.85, Fin. Adj. $26.38</t>
  </si>
  <si>
    <t>0803162</t>
  </si>
  <si>
    <t>376272800990</t>
  </si>
  <si>
    <t>0811495</t>
  </si>
  <si>
    <t>376273823991</t>
  </si>
  <si>
    <t>376265716997</t>
  </si>
  <si>
    <t>0813128</t>
  </si>
  <si>
    <t>0801079</t>
  </si>
  <si>
    <t>376273877997</t>
  </si>
  <si>
    <t>0808593</t>
  </si>
  <si>
    <t>376265857999</t>
  </si>
  <si>
    <t>376271212999</t>
  </si>
  <si>
    <t>0809587</t>
  </si>
  <si>
    <t>376271771994</t>
  </si>
  <si>
    <t>0811056</t>
  </si>
  <si>
    <t>376272740998</t>
  </si>
  <si>
    <t>0808507</t>
  </si>
  <si>
    <t>376213166998</t>
  </si>
  <si>
    <t>0800060</t>
  </si>
  <si>
    <t>376265055990</t>
  </si>
  <si>
    <t>0798162</t>
  </si>
  <si>
    <t>0807709</t>
  </si>
  <si>
    <t>0812933</t>
  </si>
  <si>
    <t>376271022992</t>
  </si>
  <si>
    <t>376256462999</t>
  </si>
  <si>
    <t>0799198</t>
  </si>
  <si>
    <t>0813375</t>
  </si>
  <si>
    <t>376273108997</t>
  </si>
  <si>
    <t>0805119</t>
  </si>
  <si>
    <t>376269980995</t>
  </si>
  <si>
    <t>02/12/17 - 02/19/17</t>
  </si>
  <si>
    <t xml:space="preserve"> Funding Received.  Missing Transaction </t>
  </si>
  <si>
    <t xml:space="preserve">(Funding Received) Voided.  Did not receive funding </t>
  </si>
  <si>
    <t xml:space="preserve">( Funding Received). Missing Transaction </t>
  </si>
  <si>
    <t>Duplicate Transaction</t>
  </si>
  <si>
    <t xml:space="preserve">(Funding Received ) Missing Transactions </t>
  </si>
  <si>
    <t>0769593</t>
  </si>
  <si>
    <t>02/20/17 - 02/25/17</t>
  </si>
  <si>
    <t>376273332993</t>
  </si>
  <si>
    <t>376270577996</t>
  </si>
  <si>
    <t>376271756995</t>
  </si>
  <si>
    <t>376274546997</t>
  </si>
  <si>
    <t>376273116990</t>
  </si>
  <si>
    <t>376224340996</t>
  </si>
  <si>
    <t>376252727999</t>
  </si>
  <si>
    <t>376231621990</t>
  </si>
  <si>
    <t>376273934996</t>
  </si>
  <si>
    <t>376229503994</t>
  </si>
  <si>
    <t>376217194996</t>
  </si>
  <si>
    <t>0838460</t>
  </si>
  <si>
    <t>376213675998</t>
  </si>
  <si>
    <t>376208867998</t>
  </si>
  <si>
    <t>376272439997</t>
  </si>
  <si>
    <t>376274879992</t>
  </si>
  <si>
    <t>376229307990</t>
  </si>
  <si>
    <t>376265842991</t>
  </si>
  <si>
    <t>376256849997</t>
  </si>
  <si>
    <t>0812245</t>
  </si>
  <si>
    <t>376275114993</t>
  </si>
  <si>
    <t>376272229992</t>
  </si>
  <si>
    <t xml:space="preserve"> Voided, This is showing up as Amex in CL.  Did not receive this funding.  </t>
  </si>
  <si>
    <t>376214535993</t>
  </si>
  <si>
    <t>376272076997</t>
  </si>
  <si>
    <t>02/26/17 - 02/28/17</t>
  </si>
  <si>
    <t xml:space="preserve">Duplicate Transaction--Cannot See in ClientLIne </t>
  </si>
  <si>
    <t xml:space="preserve">Missing Transaction--Cannot See in ClientLine </t>
  </si>
  <si>
    <t>(Funding Received) TL Hold, Voided $625.50, Rec'vd $450.39, Fin. Adj. $175.11</t>
  </si>
  <si>
    <t>(Funding Received) TL Hold, Voided $336.51, Rec'vd $242.30, Fin. Adj. $94.21</t>
  </si>
  <si>
    <t>(Funding Received) TL Hold, Voided $107.56, Rec'vd $72.08, Fin. Adj. $35.48</t>
  </si>
  <si>
    <t>(Funding Received) TL Holds; Voided 472.16, Rec'vd 316.36, Fin. Adj. 155.80</t>
  </si>
  <si>
    <t>Missing Transaction- This is actually EF that I could not see in CL. Removed from Missing Tab</t>
  </si>
  <si>
    <t>02/26/17 - 03/04/17</t>
  </si>
  <si>
    <t>376267821993</t>
  </si>
  <si>
    <t>376266263999</t>
  </si>
  <si>
    <t>376274481997</t>
  </si>
  <si>
    <t>376274707995</t>
  </si>
  <si>
    <t>376271754990</t>
  </si>
  <si>
    <t>376272296991</t>
  </si>
  <si>
    <t>376272795992</t>
  </si>
  <si>
    <t>376271919999</t>
  </si>
  <si>
    <t>376274757990</t>
  </si>
  <si>
    <t>376265061998</t>
  </si>
  <si>
    <t>376209679996</t>
  </si>
  <si>
    <t>376271707998</t>
  </si>
  <si>
    <t>376270951993</t>
  </si>
  <si>
    <t>376273065999</t>
  </si>
  <si>
    <t xml:space="preserve"> Duplicate Transaction </t>
  </si>
  <si>
    <t>TL Hold , Voided 379.22, Rec'vd 254.11, Fin. Adj.  125.11</t>
  </si>
  <si>
    <t>TL Hold , Voided 210.72, Rec'vd 151.73 , Fin. Adj.  58.99</t>
  </si>
  <si>
    <t xml:space="preserve">TL Hold, Voided 54.95, Rec'vd 39.57, Fin. Adj. 15.38   </t>
  </si>
  <si>
    <t xml:space="preserve">TL Hold, Voided 44.22, Rec'vd 31.85, Fin. Adj. 12.37  </t>
  </si>
  <si>
    <t>Amex Voided, Did not Rec'vd Funding</t>
  </si>
  <si>
    <t xml:space="preserve"> (Funding Received) Missing Transaction</t>
  </si>
  <si>
    <t xml:space="preserve">(Funding Received) Missing Transaction--Cannot See in ClientLine </t>
  </si>
  <si>
    <t>rec'vd</t>
  </si>
  <si>
    <t>03/05/17 - 03/11/17</t>
  </si>
  <si>
    <t>376265470991</t>
  </si>
  <si>
    <t>376214201992</t>
  </si>
  <si>
    <t>376274463995</t>
  </si>
  <si>
    <t>376219663998</t>
  </si>
  <si>
    <t>TL Holds Voided $890.85, Rec'vd $641.43, Fin. Adj. $249.42</t>
  </si>
  <si>
    <t>TL Hold Voided $230.94, Rec'vd $154.74, Fin. Adj. $76.20</t>
  </si>
  <si>
    <t>TL Hold Voided $252.21, Rec'vd $181.61, Fin. Adj. $70.60</t>
  </si>
  <si>
    <t>TL Hold Voided $109.13, Rec'vd $78.58, Fin. Adj. $30.55</t>
  </si>
  <si>
    <t>.</t>
  </si>
  <si>
    <t xml:space="preserve"> (Funding Received) Missing Transactions--Cannot See in ClientLine </t>
  </si>
  <si>
    <t>03/12/17 - 03/18/17</t>
  </si>
  <si>
    <t xml:space="preserve">Missing Credit Transaction (Washes with previous missing transaction) </t>
  </si>
  <si>
    <t>Missing Transaction washes with credit transaction for funding 3/12/17 - 3/18/17</t>
  </si>
  <si>
    <t>376267654998</t>
  </si>
  <si>
    <t>376265960991</t>
  </si>
  <si>
    <t>376273081996</t>
  </si>
  <si>
    <t>376272459995</t>
  </si>
  <si>
    <t>376271049995</t>
  </si>
  <si>
    <t>376267925992</t>
  </si>
  <si>
    <t>376274379993</t>
  </si>
  <si>
    <t>376267194995</t>
  </si>
  <si>
    <t xml:space="preserve">Void.  This is showing as Amex in ClientLine.  Did not receive funding </t>
  </si>
  <si>
    <t>TL Holds. Voided $1,673.86; Recvd $1,549.71; Fin. Ad. $124.15</t>
  </si>
  <si>
    <t>TL Holds Voided $428.80, Rec'vd $ 308.75, Fin. Adj. $120.05</t>
  </si>
  <si>
    <t>Void.  Did not receive funding</t>
  </si>
  <si>
    <t>TL Holds Voided $436.40, Rec'vd $ 406.48, Fin. Adj. $29.92</t>
  </si>
  <si>
    <t>TL Holds Voided $51.90, Rec'vd $ 37.37, Fin. Adj. $14.53</t>
  </si>
  <si>
    <t xml:space="preserve">(Funding Received) Missing Transaction </t>
  </si>
  <si>
    <t>03/19/17 - 03/25/17</t>
  </si>
  <si>
    <t>376266273998</t>
  </si>
  <si>
    <t>376214104998</t>
  </si>
  <si>
    <t>376256620992</t>
  </si>
  <si>
    <t>376228630996</t>
  </si>
  <si>
    <t>376750264990</t>
  </si>
  <si>
    <t>376240481998</t>
  </si>
  <si>
    <t>376273813992</t>
  </si>
  <si>
    <t xml:space="preserve">Missing Transaction--Cannot See in Clientline </t>
  </si>
  <si>
    <t>376272026992</t>
  </si>
  <si>
    <t>376271939997</t>
  </si>
  <si>
    <t>376248766994</t>
  </si>
  <si>
    <t>376271727996</t>
  </si>
  <si>
    <t>376275082992</t>
  </si>
  <si>
    <t>376270491990</t>
  </si>
  <si>
    <t>376233428998</t>
  </si>
  <si>
    <t>376273287999</t>
  </si>
  <si>
    <t>376271147997</t>
  </si>
  <si>
    <t>376264267992</t>
  </si>
  <si>
    <t>376274413990</t>
  </si>
  <si>
    <t>376270286994</t>
  </si>
  <si>
    <t>376247689999</t>
  </si>
  <si>
    <t>376212267995</t>
  </si>
  <si>
    <t>376273435994</t>
  </si>
  <si>
    <t>376271992996</t>
  </si>
  <si>
    <t>376271708996</t>
  </si>
  <si>
    <t>376266736994</t>
  </si>
  <si>
    <t>376265901995</t>
  </si>
  <si>
    <t>Void, Did not Receive Funding.  This was adjusted out due to Deposit Rejects.</t>
  </si>
  <si>
    <t>TL Hold, Voided $393.25, Rec'vd $283.15 , Fin. Adj $110.10</t>
  </si>
  <si>
    <t>TL Hold, Voided $18.93, Rec'vd $13.63 , Fin. Adj $5.30</t>
  </si>
  <si>
    <t>03/26/17 - 04/01/17</t>
  </si>
  <si>
    <t>376251598995</t>
  </si>
  <si>
    <t>376273431993</t>
  </si>
  <si>
    <t>376266036999</t>
  </si>
  <si>
    <t>376246951994</t>
  </si>
  <si>
    <t>376254762994</t>
  </si>
  <si>
    <t>376265059992</t>
  </si>
  <si>
    <t>376271712998</t>
  </si>
  <si>
    <t>376258850993</t>
  </si>
  <si>
    <t>376271195996</t>
  </si>
  <si>
    <t>376274802994</t>
  </si>
  <si>
    <t>376265787998</t>
  </si>
  <si>
    <t>376274525991</t>
  </si>
  <si>
    <t xml:space="preserve">Cannot locate MID in PBS database </t>
  </si>
  <si>
    <t>Void, Showing as Amex in CL.  Did not Receive Funding</t>
  </si>
  <si>
    <t>Revd</t>
  </si>
  <si>
    <t>(Funding Received) Missing Transaction</t>
  </si>
  <si>
    <t xml:space="preserve">(Fuanding Received) Missing Transactions </t>
  </si>
  <si>
    <t>(Funding Received) Missing Tramsaction</t>
  </si>
  <si>
    <t>(Funding Received) Missing Transaction)</t>
  </si>
  <si>
    <t xml:space="preserve">(Funding Received) Missing Transaction--Cannot See in Clientline </t>
  </si>
  <si>
    <t>04/02/17 - 04/08/17</t>
  </si>
  <si>
    <t>376272202999</t>
  </si>
  <si>
    <t>376274568991</t>
  </si>
  <si>
    <t>376227692997</t>
  </si>
  <si>
    <t>376273931992</t>
  </si>
  <si>
    <t>376228643999</t>
  </si>
  <si>
    <t>376266431992</t>
  </si>
  <si>
    <t>376252762996</t>
  </si>
  <si>
    <t>376274877996</t>
  </si>
  <si>
    <t xml:space="preserve">Missing Transaction--Cannot see in Clientline </t>
  </si>
  <si>
    <t>376275368995</t>
  </si>
  <si>
    <t>376273801997</t>
  </si>
  <si>
    <t>376270281995</t>
  </si>
  <si>
    <t>376266428998</t>
  </si>
  <si>
    <t>376265836993</t>
  </si>
  <si>
    <t>376273439996</t>
  </si>
  <si>
    <t>376271126991</t>
  </si>
  <si>
    <t>376251490995</t>
  </si>
  <si>
    <t>376254558996</t>
  </si>
  <si>
    <t>376220582997</t>
  </si>
  <si>
    <t>376273643993</t>
  </si>
  <si>
    <t>376275309999</t>
  </si>
  <si>
    <t>376275310997</t>
  </si>
  <si>
    <t>376273596993</t>
  </si>
  <si>
    <t>376270961992</t>
  </si>
  <si>
    <t>376273986996</t>
  </si>
  <si>
    <t>376270404993</t>
  </si>
  <si>
    <t>376265471999</t>
  </si>
  <si>
    <t>376238923993</t>
  </si>
  <si>
    <t>376265491997</t>
  </si>
  <si>
    <t>376271686994</t>
  </si>
  <si>
    <t>376273694996</t>
  </si>
  <si>
    <t>376273429997</t>
  </si>
  <si>
    <t>Void, Did not Receive Funding.  This is showing as Amex in CL.</t>
  </si>
  <si>
    <t>TL Hold, Voided $347.75, Rec'vd $250.39, Fin. Adj. $97.36</t>
  </si>
  <si>
    <t>TL Hold, Voided $323.27, Rec'vd $16.76, Fin. Adj. $6.51</t>
  </si>
  <si>
    <t xml:space="preserve"> (Funding Received) Cannot see in ClientLine </t>
  </si>
  <si>
    <t xml:space="preserve">(Funding Received) Missing Credit Transaction </t>
  </si>
  <si>
    <t>Missing Transaction  - washes with missing credit transaction below</t>
  </si>
  <si>
    <t>Missing Credit Transaction - washes with missing transaction above</t>
  </si>
  <si>
    <t>Missing Transaction - Washes with Missing credit Transaction Below</t>
  </si>
  <si>
    <t>Missing Credit Transaction  - washes with missing transaction above</t>
  </si>
  <si>
    <t>TL Hold Voided $87.82, Rec'vd $63.24, Fin. Adj. $24.58</t>
  </si>
  <si>
    <t>TL Holds Voided 45.86 ; Rec'vd 33.02; Fin. Adj. 12.84</t>
  </si>
  <si>
    <t>Missing Amex Transaction - Trace ID 0012803</t>
  </si>
  <si>
    <t>0012803</t>
  </si>
  <si>
    <t>04/09/17 - 04/15/17</t>
  </si>
  <si>
    <t>Missing Transaction - Trace ID 0011048</t>
  </si>
  <si>
    <t>0011048</t>
  </si>
  <si>
    <t>Missing Transaction - Trace ID 0011336</t>
  </si>
  <si>
    <t>0011336</t>
  </si>
  <si>
    <t>376265991996</t>
  </si>
  <si>
    <t>Missing Transaction - Trace ID 0015004</t>
  </si>
  <si>
    <t>0015004</t>
  </si>
  <si>
    <t>Missing Transaction - Trace ID 0993948</t>
  </si>
  <si>
    <t>Missing Credit Transaction Trace ID 0993948</t>
  </si>
  <si>
    <t>0993948</t>
  </si>
  <si>
    <t>Duplicate Missing Credit Transaction Trace ID 0993948</t>
  </si>
  <si>
    <t>Missing Transaction - Trace ID 0013612</t>
  </si>
  <si>
    <t>0013612</t>
  </si>
  <si>
    <t>Missing Transaction - Trace ID 0008789</t>
  </si>
  <si>
    <t>Missing Transaction - Trace ID 0983245</t>
  </si>
  <si>
    <t>376271977997</t>
  </si>
  <si>
    <t>0008789</t>
  </si>
  <si>
    <t>0983245</t>
  </si>
  <si>
    <t>Missing Transaction - Trace ID 0012800</t>
  </si>
  <si>
    <t>0012800</t>
  </si>
  <si>
    <t>376272367990</t>
  </si>
  <si>
    <t>Missing Transaction - Trace ID 0014363</t>
  </si>
  <si>
    <t>0014363</t>
  </si>
  <si>
    <t>Missing Transaction - Trace ID 0009950</t>
  </si>
  <si>
    <t>Missing Transaction - Trace ID 0012797</t>
  </si>
  <si>
    <t>0009950</t>
  </si>
  <si>
    <t>0012797</t>
  </si>
  <si>
    <t>376248847992</t>
  </si>
  <si>
    <t>376271072997</t>
  </si>
  <si>
    <t>376260823996</t>
  </si>
  <si>
    <t>376265902993</t>
  </si>
  <si>
    <t>376233427990</t>
  </si>
  <si>
    <t>Missing Transaction - Trace ID 0014009</t>
  </si>
  <si>
    <t>Missing Transaction - Trace ID 0012795</t>
  </si>
  <si>
    <t>Missing Transaction - Trace ID 0012787</t>
  </si>
  <si>
    <t>0014009</t>
  </si>
  <si>
    <t>0012795</t>
  </si>
  <si>
    <t>0012787</t>
  </si>
  <si>
    <t>Missing Transaction - Trace ID 0012758</t>
  </si>
  <si>
    <t>Missing Transaction - Trace ID 0012145</t>
  </si>
  <si>
    <t>Missing Transaction - Trace ID 0012528</t>
  </si>
  <si>
    <t>Missing Transaction - Trace ID 0014081</t>
  </si>
  <si>
    <t>Missing Transaction - Trace ID 0012784 $48.15</t>
  </si>
  <si>
    <t>Missing Transaction - Trace ID 0012789</t>
  </si>
  <si>
    <t>376274685993</t>
  </si>
  <si>
    <t>376272594999</t>
  </si>
  <si>
    <t>376271436994</t>
  </si>
  <si>
    <t>376270991999</t>
  </si>
  <si>
    <t>376220454999</t>
  </si>
  <si>
    <t>0012145</t>
  </si>
  <si>
    <t>0012528</t>
  </si>
  <si>
    <t>0014081</t>
  </si>
  <si>
    <t>0012784</t>
  </si>
  <si>
    <t>0012789</t>
  </si>
  <si>
    <t>Missing Transaction - Trace ID 0014185</t>
  </si>
  <si>
    <t>Missing Transaction - Trace ID 0012811</t>
  </si>
  <si>
    <t>376274021991</t>
  </si>
  <si>
    <t>376213924990</t>
  </si>
  <si>
    <t>376272035993</t>
  </si>
  <si>
    <t>376263225991</t>
  </si>
  <si>
    <t>Missing Transaction - Trace ID 0012844</t>
  </si>
  <si>
    <t>Missing Transaction - Trace ID 0014104</t>
  </si>
  <si>
    <t>Missing Transaction - Trace ID 0014378</t>
  </si>
  <si>
    <t>Missing Transaction - Trace ID 0012832</t>
  </si>
  <si>
    <t>376273095996</t>
  </si>
  <si>
    <t>376271423992</t>
  </si>
  <si>
    <t>Missing Transaction - Trace ID 0014600</t>
  </si>
  <si>
    <t>Missing Transaction - Trace ID 0012765</t>
  </si>
  <si>
    <t>Missing Transaction - Trace ID 0012810</t>
  </si>
  <si>
    <t>Missing Transaction - Trace ID 0013615</t>
  </si>
  <si>
    <t>Missing Transaction - Trace ID 0012816</t>
  </si>
  <si>
    <t>376267125999</t>
  </si>
  <si>
    <t>376274566995</t>
  </si>
  <si>
    <t>Missing Transaction - Trace ID 0010549</t>
  </si>
  <si>
    <t>Missing Transaction - Trace ID 0012792</t>
  </si>
  <si>
    <t>376271711990</t>
  </si>
  <si>
    <t>Missing Transaction - Trace ID 0012828</t>
  </si>
  <si>
    <t>Missing Transaction - Trace ID 0005813</t>
  </si>
  <si>
    <t>Missing Transaction - Trace ID 0977435</t>
  </si>
  <si>
    <t>Missing Transaction - Trace ID 0007556</t>
  </si>
  <si>
    <t>Missing Transaction - Trace ID 0012954</t>
  </si>
  <si>
    <t>Missing Transaction - Trace ID 0996330</t>
  </si>
  <si>
    <t>Cannot See in CL - Missing Transaction</t>
  </si>
  <si>
    <t>376212530996</t>
  </si>
  <si>
    <t>376263772992</t>
  </si>
  <si>
    <t>376239998994</t>
  </si>
  <si>
    <t>376271175998</t>
  </si>
  <si>
    <t>376208679997</t>
  </si>
  <si>
    <t>376275378994</t>
  </si>
  <si>
    <t>376274602998</t>
  </si>
  <si>
    <t>376261791994</t>
  </si>
  <si>
    <t>376273448997</t>
  </si>
  <si>
    <t>376268614991</t>
  </si>
  <si>
    <t>376263681995</t>
  </si>
  <si>
    <t>Missing Transactions - $47.75 Trace ID 0012775; $57.65 Trace ID 0003333</t>
  </si>
  <si>
    <t>Missing Transactions - Trace ID 0013930</t>
  </si>
  <si>
    <t>Missing Transactions - $51.57 Trace ID 0012830; $64.56 Trace ID 0008922</t>
  </si>
  <si>
    <t>Missing Transactions - Trace ID 0012819</t>
  </si>
  <si>
    <t>Missing Transactions - Trace ID 0013472</t>
  </si>
  <si>
    <t>Missing Transactions - Trace ID 0989747</t>
  </si>
  <si>
    <t>Missing Transactions - Trace ID 0010376</t>
  </si>
  <si>
    <t>Missing Transactions - $98.91 Trace ID 0997483; $52.15 Trace ID 0012119</t>
  </si>
  <si>
    <t>Missing Transactions - Trace ID 0006013</t>
  </si>
  <si>
    <t>Missing Transactions - $81.95 Trace ID 0012842; $58.90 Trace ID 0012936; $81.05 Trace ID 0012664</t>
  </si>
  <si>
    <t>376265949994</t>
  </si>
  <si>
    <t>376274795990</t>
  </si>
  <si>
    <t>0014185</t>
  </si>
  <si>
    <t>0012811</t>
  </si>
  <si>
    <t>0012844</t>
  </si>
  <si>
    <t>0014104</t>
  </si>
  <si>
    <t>0014378</t>
  </si>
  <si>
    <t>0012832</t>
  </si>
  <si>
    <t>0014600</t>
  </si>
  <si>
    <t>0012765</t>
  </si>
  <si>
    <t>0012810</t>
  </si>
  <si>
    <t>0013615</t>
  </si>
  <si>
    <t>0012816</t>
  </si>
  <si>
    <t>0010549</t>
  </si>
  <si>
    <t>0012792</t>
  </si>
  <si>
    <t>0012828</t>
  </si>
  <si>
    <t>0005813</t>
  </si>
  <si>
    <t>0977435</t>
  </si>
  <si>
    <t>0007556</t>
  </si>
  <si>
    <t>0012954</t>
  </si>
  <si>
    <t>0996330</t>
  </si>
  <si>
    <t>0012775</t>
  </si>
  <si>
    <t>0003333</t>
  </si>
  <si>
    <t>0013930</t>
  </si>
  <si>
    <t>0012830</t>
  </si>
  <si>
    <t>0008222</t>
  </si>
  <si>
    <t>0012819</t>
  </si>
  <si>
    <t>0013472</t>
  </si>
  <si>
    <t>0989747</t>
  </si>
  <si>
    <t>0010376</t>
  </si>
  <si>
    <t>0997483</t>
  </si>
  <si>
    <t>0012119</t>
  </si>
  <si>
    <t>0006013</t>
  </si>
  <si>
    <t>0012842</t>
  </si>
  <si>
    <t>0012936</t>
  </si>
  <si>
    <t>0012664</t>
  </si>
  <si>
    <t>04/16/17 - 04/22/17</t>
  </si>
  <si>
    <t>376273445993</t>
  </si>
  <si>
    <t>TL Hold, Voided $317.85, Rec'vd $228.86, Fin. Adj. $88.99</t>
  </si>
  <si>
    <t>TL Hold, Voided $239.12, Rec'vd $172.18, Fin. Adj. $66.94</t>
  </si>
  <si>
    <t>Missing Credit Transaction - Trace ID 0013472 Washes with Prev Week</t>
  </si>
  <si>
    <t>Missing Credit Transaction - Trace ID 0014185 Washes with Prev Week</t>
  </si>
  <si>
    <t>Missing Credit Transaction - Trace ID 009950 Washes with Prev Week</t>
  </si>
  <si>
    <t>Credit Rec'vd Following Week (Details Below)</t>
  </si>
  <si>
    <t>Debit Rec'vd Prev Week (Details Above)</t>
  </si>
  <si>
    <t>Missing Transaction - Trace ID 0035171</t>
  </si>
  <si>
    <t>0035171</t>
  </si>
  <si>
    <t>376235654997</t>
  </si>
  <si>
    <t>Missing Transaction - Trace ID 0028335</t>
  </si>
  <si>
    <t>Missing Transaction - Trace ID 0015493</t>
  </si>
  <si>
    <t>Missing Transaction - Trace ID 0032142</t>
  </si>
  <si>
    <t>0028335</t>
  </si>
  <si>
    <t>0015493</t>
  </si>
  <si>
    <t>0032142</t>
  </si>
  <si>
    <t>376217811995</t>
  </si>
  <si>
    <t>Missing Transaction - Trace ID 0033984</t>
  </si>
  <si>
    <t>Missing Transaction - Trace ID 0018036</t>
  </si>
  <si>
    <t>Missing Transaction - Trace ID 0022770</t>
  </si>
  <si>
    <t>Missing Transaction - Trace ID 0006271</t>
  </si>
  <si>
    <t>0033984</t>
  </si>
  <si>
    <t>0018036</t>
  </si>
  <si>
    <t>0022770</t>
  </si>
  <si>
    <t>0006271</t>
  </si>
  <si>
    <t>376272210992</t>
  </si>
  <si>
    <t>0021355</t>
  </si>
  <si>
    <t>Missing Transaction - Trace ID 0021355</t>
  </si>
  <si>
    <t>Missing Transaction - Trace ID 0021664</t>
  </si>
  <si>
    <t>Missing Transaction - Trace ID 0034678</t>
  </si>
  <si>
    <t>Missing Transaction - Trace ID 0038581</t>
  </si>
  <si>
    <t>Missing Transaction - Trace ID 0029027</t>
  </si>
  <si>
    <t>376266837990</t>
  </si>
  <si>
    <t>376275118994</t>
  </si>
  <si>
    <t>376274201999</t>
  </si>
  <si>
    <t>0021664</t>
  </si>
  <si>
    <t>0034678</t>
  </si>
  <si>
    <t>0038581</t>
  </si>
  <si>
    <t>0029027</t>
  </si>
  <si>
    <t>Missing Transaction - Trace ID 0029854</t>
  </si>
  <si>
    <t>376273465991</t>
  </si>
  <si>
    <t>Missing Transaction - Trace ID 0021622</t>
  </si>
  <si>
    <t>Missing Transaction - Trace ID 0032458</t>
  </si>
  <si>
    <t>376273508998</t>
  </si>
  <si>
    <t>Missing Transaction - Trace ID 0031433</t>
  </si>
  <si>
    <t>376273342992</t>
  </si>
  <si>
    <t>Missing Transaction - Trace ID 0032788</t>
  </si>
  <si>
    <t>Missing Transaction - Trace ID 0024340</t>
  </si>
  <si>
    <t>Missing Transaction - Trace ID 0018949</t>
  </si>
  <si>
    <t>Missing Transaction - Trace ID 0032801</t>
  </si>
  <si>
    <t>Missing Transaction - Trace ID 0028936</t>
  </si>
  <si>
    <t>376213277993</t>
  </si>
  <si>
    <t>376274341993</t>
  </si>
  <si>
    <t>376274590995</t>
  </si>
  <si>
    <t>376272064993</t>
  </si>
  <si>
    <t>376267106999</t>
  </si>
  <si>
    <t>Missing Transaction - Trace ID 0034907</t>
  </si>
  <si>
    <t>Missing Transaction - Trace ID 0015361</t>
  </si>
  <si>
    <t>Missing Transaction - Trace ID 0035023</t>
  </si>
  <si>
    <t>Missing Transaction - Trace ID 0035512</t>
  </si>
  <si>
    <t>Missing Transactions - $46.90 Trace ID 0025985; $103.90 Trace ID 0030030; $176.90 Trace ID 0030158</t>
  </si>
  <si>
    <t>376212767994</t>
  </si>
  <si>
    <t>0029584</t>
  </si>
  <si>
    <t>0021622</t>
  </si>
  <si>
    <t>0032458</t>
  </si>
  <si>
    <t>0031433</t>
  </si>
  <si>
    <t>0032788</t>
  </si>
  <si>
    <t>0024340</t>
  </si>
  <si>
    <t>0018949</t>
  </si>
  <si>
    <t>0032801</t>
  </si>
  <si>
    <t>0028936</t>
  </si>
  <si>
    <t>0034907</t>
  </si>
  <si>
    <t>0015361</t>
  </si>
  <si>
    <t>0035023</t>
  </si>
  <si>
    <t>0035512</t>
  </si>
  <si>
    <t>0025985</t>
  </si>
  <si>
    <t>0030030</t>
  </si>
  <si>
    <t>0030158</t>
  </si>
  <si>
    <t>0971073</t>
  </si>
  <si>
    <t>Missing Transaction - Trace ID 0971073</t>
  </si>
  <si>
    <t>37627279994</t>
  </si>
  <si>
    <t>0979684</t>
  </si>
  <si>
    <t>Missing Transaction - Trace ID 0979684</t>
  </si>
  <si>
    <t>Unvoided Funding now Rec'vd; Voided, Did not Receive Funding</t>
  </si>
  <si>
    <t>Missing Credit Transaction - Trace ID 0015361 (Washes with Prev Week)</t>
  </si>
  <si>
    <t>Missing  Credit Transaction - Trace ID 0983245 (Washes with 4/12 to 4/18 Funding)</t>
  </si>
  <si>
    <t>Missing Credit Transaction - Trace ID 0038581 (Washes with Prev Week)</t>
  </si>
  <si>
    <t>04/23/17 - 04/29/17</t>
  </si>
  <si>
    <t>Missing Transaction - Trace ID 0053632</t>
  </si>
  <si>
    <t>376271062998</t>
  </si>
  <si>
    <t>0053632</t>
  </si>
  <si>
    <t>0044611</t>
  </si>
  <si>
    <t>Missing Transaction - Trace ID 0044611</t>
  </si>
  <si>
    <t>Missing Transaction - Trace ID 0050480</t>
  </si>
  <si>
    <t>Missing Transaction - Trace ID 0060280</t>
  </si>
  <si>
    <t>Missing Transaction - Trace ID 0044046</t>
  </si>
  <si>
    <t>Missing Transaction - Trace ID 0044095</t>
  </si>
  <si>
    <t>376274160997</t>
  </si>
  <si>
    <t>376273700991</t>
  </si>
  <si>
    <t>376272073994</t>
  </si>
  <si>
    <t>376273951990</t>
  </si>
  <si>
    <t>376261512994</t>
  </si>
  <si>
    <t>376275791998</t>
  </si>
  <si>
    <t>Missing Transaction - Trace ID 0055670</t>
  </si>
  <si>
    <t>Missing Transaction - Trace ID 0043752</t>
  </si>
  <si>
    <t>Missing Transaction - Trace ID 0066718</t>
  </si>
  <si>
    <t>Missing Transaction - Trace ID 0043026</t>
  </si>
  <si>
    <t>Cannot see in CL - Missing Transaction</t>
  </si>
  <si>
    <t>Missing Transaction - Trace ID 0071215</t>
  </si>
  <si>
    <t>376272443999</t>
  </si>
  <si>
    <t>Missing Transaction - Trace ID 0055566</t>
  </si>
  <si>
    <t>Missing Transaction - Trace ID 0070651</t>
  </si>
  <si>
    <t>Missing Transaction - Trace ID 0052925</t>
  </si>
  <si>
    <t>376271158994</t>
  </si>
  <si>
    <t>376272515994</t>
  </si>
  <si>
    <t>Missing Transaction - Trace ID 0053697</t>
  </si>
  <si>
    <t>376276003997</t>
  </si>
  <si>
    <t>Missing Transaction - Trace ID 0063916</t>
  </si>
  <si>
    <t>376220439990</t>
  </si>
  <si>
    <t>Missing Transaction - Trace ID 0049266 $78.10; Trace ID 0062819 $122.95</t>
  </si>
  <si>
    <t>Missing Transaction - Trace ID 0044941</t>
  </si>
  <si>
    <t>0050480</t>
  </si>
  <si>
    <t>0060280</t>
  </si>
  <si>
    <t>0044046</t>
  </si>
  <si>
    <t>0044095</t>
  </si>
  <si>
    <t>0055670</t>
  </si>
  <si>
    <t>0043752</t>
  </si>
  <si>
    <t>0066718</t>
  </si>
  <si>
    <t>0043026</t>
  </si>
  <si>
    <t>0071215</t>
  </si>
  <si>
    <t>0055566</t>
  </si>
  <si>
    <t>0070651</t>
  </si>
  <si>
    <t>0052925</t>
  </si>
  <si>
    <t>0053697</t>
  </si>
  <si>
    <t>0063916</t>
  </si>
  <si>
    <t>0049266</t>
  </si>
  <si>
    <t>0062819</t>
  </si>
  <si>
    <t>0044941</t>
  </si>
  <si>
    <t>3044095</t>
  </si>
  <si>
    <t>Amex Voided, Did not Receive Funding.</t>
  </si>
  <si>
    <t>376274629991</t>
  </si>
  <si>
    <t>TL Holds, Void $321.43, Rec'vd $231.44, Fin. Adj. $89.99</t>
  </si>
  <si>
    <t>TL Holds, Void $203.85, Rec'vd $146.79, Fin. Adj. $57.06</t>
  </si>
  <si>
    <t>Missing Transaction - Trace ID 0098884</t>
  </si>
  <si>
    <t>0098884</t>
  </si>
  <si>
    <t>4/30/17 to 5/6/17</t>
  </si>
  <si>
    <t>Missing Transaction - Trace ID 0096415</t>
  </si>
  <si>
    <t>Missing Transaction - Trace ID 0085574</t>
  </si>
  <si>
    <t>Missing Transaction - Trace ID 0098552</t>
  </si>
  <si>
    <t>376271346995</t>
  </si>
  <si>
    <t>376275636995</t>
  </si>
  <si>
    <t>0096415</t>
  </si>
  <si>
    <t>0085574</t>
  </si>
  <si>
    <t>0098552</t>
  </si>
  <si>
    <t>Missing Transaction - Trace ID 0066729</t>
  </si>
  <si>
    <t>Missing Transaction - Trace ID 0098467</t>
  </si>
  <si>
    <t>Missing Transaction - Trace ID 0094600</t>
  </si>
  <si>
    <t>376273157994</t>
  </si>
  <si>
    <t>0066729</t>
  </si>
  <si>
    <t>0098467</t>
  </si>
  <si>
    <t>0094600</t>
  </si>
  <si>
    <t>376267413999</t>
  </si>
  <si>
    <t>376273146997</t>
  </si>
  <si>
    <t>Missing Transaction - Trace ID 0090334</t>
  </si>
  <si>
    <t>Missing Transaction - Trace ID 0095003</t>
  </si>
  <si>
    <t>Missing Transaction - Trace ID 0090855</t>
  </si>
  <si>
    <t>0090334</t>
  </si>
  <si>
    <t>0095003</t>
  </si>
  <si>
    <t>0090855</t>
  </si>
  <si>
    <t>Missing Transaction - Trace ID 0087788</t>
  </si>
  <si>
    <t>0087788</t>
  </si>
  <si>
    <t>376274660996</t>
  </si>
  <si>
    <t>376275041998</t>
  </si>
  <si>
    <t>Missing Transaction - Trace ID 0087157</t>
  </si>
  <si>
    <t>Missing Transaction - Trace ID 0095378</t>
  </si>
  <si>
    <t>Missing Transaction - Trace ID 0100329</t>
  </si>
  <si>
    <t>Missing Transaction - Trace ID 0100079</t>
  </si>
  <si>
    <t>Missing Transaction - Trace ID 0097960</t>
  </si>
  <si>
    <t>376228098996</t>
  </si>
  <si>
    <t>376220211993</t>
  </si>
  <si>
    <t>376273402994</t>
  </si>
  <si>
    <t>0087157</t>
  </si>
  <si>
    <t>0100329</t>
  </si>
  <si>
    <t>0100079</t>
  </si>
  <si>
    <t>0097960</t>
  </si>
  <si>
    <t>0095378</t>
  </si>
  <si>
    <t>Missing Transaction - Trace ID 0100304</t>
  </si>
  <si>
    <t>0100304</t>
  </si>
  <si>
    <t>Missing Transaction - Trace ID 0098500</t>
  </si>
  <si>
    <t>0098500</t>
  </si>
  <si>
    <t>Missing Transaction - Trace ID 0079275</t>
  </si>
  <si>
    <t>Missing Transaction - Trace ID 0094546</t>
  </si>
  <si>
    <t>Missing Transaction - Trace ID 0098783</t>
  </si>
  <si>
    <t>376271173993</t>
  </si>
  <si>
    <t>376244240994</t>
  </si>
  <si>
    <t>0079275</t>
  </si>
  <si>
    <t>0094546</t>
  </si>
  <si>
    <t>0098783</t>
  </si>
  <si>
    <t>Missing Transaction - Trace ID 0088669</t>
  </si>
  <si>
    <t>0088669</t>
  </si>
  <si>
    <t>376255378998</t>
  </si>
  <si>
    <t>Missing Transaction - Trace ID 0090159</t>
  </si>
  <si>
    <t>Missing Transaction - Trace ID 0087847</t>
  </si>
  <si>
    <t>0090159</t>
  </si>
  <si>
    <t>0087847</t>
  </si>
  <si>
    <t>376271892998</t>
  </si>
  <si>
    <t>Missing Transaction - Trace ID 0098822</t>
  </si>
  <si>
    <t>0098822</t>
  </si>
  <si>
    <t>Missing Transaction - Trace ID 0099995</t>
  </si>
  <si>
    <t>0099995</t>
  </si>
  <si>
    <t>376273361992</t>
  </si>
  <si>
    <t>376273778997</t>
  </si>
  <si>
    <t>Missing Transaction - Trace ID 0097831</t>
  </si>
  <si>
    <t>Missing Transaction - Trace ID 0095300</t>
  </si>
  <si>
    <t>0097831</t>
  </si>
  <si>
    <t>0095300</t>
  </si>
  <si>
    <t>Missing Transaction - Trace ID 0087780</t>
  </si>
  <si>
    <t>Missing Transaction - Trace ID 0098640</t>
  </si>
  <si>
    <t>Missing Transaction - Trace ID 0093359</t>
  </si>
  <si>
    <t>376273002992</t>
  </si>
  <si>
    <t>0087780</t>
  </si>
  <si>
    <t>0098640</t>
  </si>
  <si>
    <t>0093359</t>
  </si>
  <si>
    <t>376274841992</t>
  </si>
  <si>
    <t>Missing Transaction - Trace ID 0093222</t>
  </si>
  <si>
    <t>0093222</t>
  </si>
  <si>
    <t>Missing Transaction - Trace ID 0097789</t>
  </si>
  <si>
    <t>Missing Transaction - Trace ID 0093894</t>
  </si>
  <si>
    <t>Missing Transaction - Trace ID 0098761</t>
  </si>
  <si>
    <t>0097789</t>
  </si>
  <si>
    <t>0093894</t>
  </si>
  <si>
    <t>0098761</t>
  </si>
  <si>
    <t>Missing Transaction - Trace ID 0088617</t>
  </si>
  <si>
    <t>Missing Transaction - Trace ID 0083394</t>
  </si>
  <si>
    <t>Missing Transaction - $90.05 Trace ID 0095316; $20.72 Trace ID 0088438</t>
  </si>
  <si>
    <t>376267122996</t>
  </si>
  <si>
    <t>376272988993</t>
  </si>
  <si>
    <t>Missing Transaction - Trace ID 0094060</t>
  </si>
  <si>
    <t>Missing Transaction - Trace ID 0097365</t>
  </si>
  <si>
    <t>376273195994</t>
  </si>
  <si>
    <t>Missing Transaction - Trace ID 0066301</t>
  </si>
  <si>
    <t>0088617</t>
  </si>
  <si>
    <t>0083394</t>
  </si>
  <si>
    <t>0095316</t>
  </si>
  <si>
    <t>0088438</t>
  </si>
  <si>
    <t>0094060</t>
  </si>
  <si>
    <t>0097365</t>
  </si>
  <si>
    <t>0066301</t>
  </si>
  <si>
    <t>Void, Did not Receive Funding.</t>
  </si>
  <si>
    <t>TL Hold, Voided $300.66, Rec'vd $216.49 , Fin. Adj. $ 84.17</t>
  </si>
  <si>
    <t>Missing Transaction - Trace ID 0878943</t>
  </si>
  <si>
    <t>Washes</t>
  </si>
  <si>
    <t>Missing Credit Transaction - Trace ID 0088617 Washes with Prev Week</t>
  </si>
  <si>
    <t>Missing Transaction - Trace ID 0124237</t>
  </si>
  <si>
    <t>Washes with Missing Trans. Above</t>
  </si>
  <si>
    <t>Washes with Missing Credit Trans. Below</t>
  </si>
  <si>
    <t>0124237</t>
  </si>
  <si>
    <t>376272811997</t>
  </si>
  <si>
    <t>5/07/17 to 5/13/17</t>
  </si>
  <si>
    <t>Missing Credit Transaction - Washes with Prev Week (Cannot See in CL)</t>
  </si>
  <si>
    <t>Missing Transaction - Trace ID 0099455</t>
  </si>
  <si>
    <t>0099455</t>
  </si>
  <si>
    <t>Missing Transaction - Trace ID 0102811</t>
  </si>
  <si>
    <t>0102811</t>
  </si>
  <si>
    <t>Missing Transaction - Trace ID 0103158</t>
  </si>
  <si>
    <t>0103158</t>
  </si>
  <si>
    <t>Missing Transaction - Trace ID 0114414</t>
  </si>
  <si>
    <t>Missing Transaction - Trace ID 0093827</t>
  </si>
  <si>
    <t>Missing Transaction - Trace ID 0110769</t>
  </si>
  <si>
    <t>Missing Transaction - Trace ID 0099019</t>
  </si>
  <si>
    <t>0114414</t>
  </si>
  <si>
    <t>0093827</t>
  </si>
  <si>
    <t>0110769</t>
  </si>
  <si>
    <t>0099019</t>
  </si>
  <si>
    <t>376262590999</t>
  </si>
  <si>
    <t>376230873998</t>
  </si>
  <si>
    <t>Missing Transaction - Trace ID 0102281</t>
  </si>
  <si>
    <t>Missing Transaction - Trace ID 0111576</t>
  </si>
  <si>
    <t>0102281</t>
  </si>
  <si>
    <t>0111576</t>
  </si>
  <si>
    <t>Missing Transaction - Trace ID 0121980</t>
  </si>
  <si>
    <t>0121980</t>
  </si>
  <si>
    <t>Missing Transaction - Trace ID 0121537</t>
  </si>
  <si>
    <t>0121537</t>
  </si>
  <si>
    <t>Missing Transaction - Trace ID 0119704</t>
  </si>
  <si>
    <t>0119704</t>
  </si>
  <si>
    <t>Missing Transaction - Trace ID 0103653</t>
  </si>
  <si>
    <t>0103653</t>
  </si>
  <si>
    <t>Missing Transaction - Trace ID 0123521</t>
  </si>
  <si>
    <t>Cannot See in CL $58.90 and $95.95 Missing Transaction</t>
  </si>
  <si>
    <t>Missing Transaction - Trace ID 0107978</t>
  </si>
  <si>
    <t>Missing Transaction - Trace ID 0124277</t>
  </si>
  <si>
    <t>Missing Transaction - Trace ID 0101845</t>
  </si>
  <si>
    <t>Missing Transaction - Trace ID 0125335</t>
  </si>
  <si>
    <t>376263426995</t>
  </si>
  <si>
    <t>376268286998</t>
  </si>
  <si>
    <t>376270299997</t>
  </si>
  <si>
    <t>0123521</t>
  </si>
  <si>
    <t>0107978</t>
  </si>
  <si>
    <t>0124277</t>
  </si>
  <si>
    <t>0101845</t>
  </si>
  <si>
    <t>0125335</t>
  </si>
  <si>
    <t>0122213</t>
  </si>
  <si>
    <t>Missing Transaction - Trace ID 0122213</t>
  </si>
  <si>
    <t>Missing Credit Transaction - Trace ID 0090159</t>
  </si>
  <si>
    <t>Duplicate Missing Credit Transaction - Trace ID 0090159</t>
  </si>
  <si>
    <t>5/14/17 to 5/20/17</t>
  </si>
  <si>
    <t>MIssing</t>
  </si>
  <si>
    <t>376271259990</t>
  </si>
  <si>
    <t>0145144</t>
  </si>
  <si>
    <t>Missing Transaction - Trace ID 0145144 Washes with Missing Credit below</t>
  </si>
  <si>
    <t>Missing Credit Transaction - Trace ID 0145144 Washes with Missing Trans. Above</t>
  </si>
  <si>
    <t>Duplicate Missing Credit Transaction Trace ID 0145144</t>
  </si>
  <si>
    <t>Missing Transaction - Trace ID 0151616</t>
  </si>
  <si>
    <t>0151616</t>
  </si>
  <si>
    <t>Missing Transaction - Trace ID 0145310</t>
  </si>
  <si>
    <t>0145310</t>
  </si>
  <si>
    <t>Missing Transaction - Trace ID 0139712</t>
  </si>
  <si>
    <t>0139712</t>
  </si>
  <si>
    <t>376273702997</t>
  </si>
  <si>
    <t>376236091991</t>
  </si>
  <si>
    <t>376270567997</t>
  </si>
  <si>
    <t>Missing Transaction - Trace ID 0140795</t>
  </si>
  <si>
    <t>Missing Transaction - Trace ID 0141661</t>
  </si>
  <si>
    <t>0140795</t>
  </si>
  <si>
    <t>0141661</t>
  </si>
  <si>
    <t>Missing Transaction - Trace ID 0136129</t>
  </si>
  <si>
    <t>0136129</t>
  </si>
  <si>
    <t>376271213997</t>
  </si>
  <si>
    <t>0152719</t>
  </si>
  <si>
    <t>Missing Transaction - Trace ID 0152719</t>
  </si>
  <si>
    <t>Missing Transaction - Trace ID 0141659</t>
  </si>
  <si>
    <t>Missing Transaction - Trace ID 0152718</t>
  </si>
  <si>
    <t>0141659</t>
  </si>
  <si>
    <t>0152718</t>
  </si>
  <si>
    <t>376270571999</t>
  </si>
  <si>
    <t>376270325990</t>
  </si>
  <si>
    <t>0144971</t>
  </si>
  <si>
    <t>Missing Transaction - Trace ID 0144971</t>
  </si>
  <si>
    <t>Amex Voided, Did not Receive funding.</t>
  </si>
  <si>
    <t>376274163991</t>
  </si>
  <si>
    <t>Voided, Did not Receive Funding due to Financial Adjustment</t>
  </si>
  <si>
    <t>Voided, Did not Receive Funding.</t>
  </si>
  <si>
    <t>Void Did not Receive Funding.  This is showing as Amex in CL.</t>
  </si>
  <si>
    <t>Missing Transaction - Trace ID 0169060</t>
  </si>
  <si>
    <t>376213241999</t>
  </si>
  <si>
    <t>0169060</t>
  </si>
  <si>
    <t>0169023</t>
  </si>
  <si>
    <t>376271894994</t>
  </si>
  <si>
    <t>Missing Transaction - Trace ID 0169168</t>
  </si>
  <si>
    <t>Missing Transaction - Trace ID 0169023</t>
  </si>
  <si>
    <t>0169168</t>
  </si>
  <si>
    <t>Missing Transaction - Trace ID 0168937</t>
  </si>
  <si>
    <t>Missing Transaction - Trace ID 0182042</t>
  </si>
  <si>
    <t>376273900997</t>
  </si>
  <si>
    <t>376274884992</t>
  </si>
  <si>
    <t>376273017990</t>
  </si>
  <si>
    <t>0168937</t>
  </si>
  <si>
    <t>0182042</t>
  </si>
  <si>
    <t>Missing Transaction - Trace ID 0166895</t>
  </si>
  <si>
    <t>376271003992</t>
  </si>
  <si>
    <t>0166895</t>
  </si>
  <si>
    <t>Missing Transaction - Trace ID 0166915</t>
  </si>
  <si>
    <t>0166915</t>
  </si>
  <si>
    <t>Missing Transaction - Trace ID 0155365</t>
  </si>
  <si>
    <t>Missing Transaction - Trace ID 0167907</t>
  </si>
  <si>
    <t>Missing Transaction - Trace ID 0180436</t>
  </si>
  <si>
    <t>0155365</t>
  </si>
  <si>
    <t>0167907</t>
  </si>
  <si>
    <t>0180436</t>
  </si>
  <si>
    <t>376270655990</t>
  </si>
  <si>
    <t>376271167995</t>
  </si>
  <si>
    <t>Missing Transaction - Trace ID 0164244</t>
  </si>
  <si>
    <t>Missing Transaction - Trace ID 0176222</t>
  </si>
  <si>
    <t>Missing Transaction - Trace ID 0176067</t>
  </si>
  <si>
    <t>0164244</t>
  </si>
  <si>
    <t>0176222</t>
  </si>
  <si>
    <t>0176067</t>
  </si>
  <si>
    <t>376212810992</t>
  </si>
  <si>
    <t>376273559991</t>
  </si>
  <si>
    <t>0174301</t>
  </si>
  <si>
    <t>Missing Transaction - Trace ID 0174301</t>
  </si>
  <si>
    <t>Missing Transaction - Trace ID 0169494</t>
  </si>
  <si>
    <t>376208787998</t>
  </si>
  <si>
    <t>0169494</t>
  </si>
  <si>
    <t>Missing Transaction - Trace ID 0169063</t>
  </si>
  <si>
    <t>376267832990</t>
  </si>
  <si>
    <t>0169063</t>
  </si>
  <si>
    <t>Missing Transaction - Trace ID 0179684</t>
  </si>
  <si>
    <t>Missing Transaction - Trace ID 0175334</t>
  </si>
  <si>
    <t>Missing Transaction - Trace ID 0174048</t>
  </si>
  <si>
    <t>376267050999</t>
  </si>
  <si>
    <t>376268372996</t>
  </si>
  <si>
    <t>0179684</t>
  </si>
  <si>
    <t>0175334</t>
  </si>
  <si>
    <t>0174048</t>
  </si>
  <si>
    <t>5/21/17 to 5/29/17</t>
  </si>
  <si>
    <t>recvd</t>
  </si>
  <si>
    <t>Void, Did not Receive Funding, This is showing as an Amex Transaction in Client Line.</t>
  </si>
  <si>
    <t>Cannot See in CL - Missing Credit Transaction</t>
  </si>
  <si>
    <t>5/30/17 to 6/3/17</t>
  </si>
  <si>
    <t>Cannot See in CL - Duplicate Missing Credit Transaction</t>
  </si>
  <si>
    <t>0182221</t>
  </si>
  <si>
    <t>Missing Transaction - Trace ID 0192562</t>
  </si>
  <si>
    <t>0192562</t>
  </si>
  <si>
    <t>0195513</t>
  </si>
  <si>
    <t>0193045</t>
  </si>
  <si>
    <t>Missing Transaction - Trace ID 0195513</t>
  </si>
  <si>
    <t>Missing Transaction - Trace ID 0193045</t>
  </si>
  <si>
    <t>376272779996</t>
  </si>
  <si>
    <t>0197261</t>
  </si>
  <si>
    <t>Missing Transaction - Trace ID 0197261</t>
  </si>
  <si>
    <t>376270047990</t>
  </si>
  <si>
    <t>376275637993</t>
  </si>
  <si>
    <t>Missing Transaction - Trace ID 0196039</t>
  </si>
  <si>
    <t>Cannot Se in CL - Missing Transaction Trace ID 0194583</t>
  </si>
  <si>
    <t>0196039</t>
  </si>
  <si>
    <t>0194583</t>
  </si>
  <si>
    <t>376274278997</t>
  </si>
  <si>
    <t>Missing Transaction - Trace ID 0192149</t>
  </si>
  <si>
    <t>Missing Transaction - Trace ID 0110637</t>
  </si>
  <si>
    <t>Missing Transaction - Trace ID 0192126</t>
  </si>
  <si>
    <t>0192149</t>
  </si>
  <si>
    <t>0110637</t>
  </si>
  <si>
    <t>0192126</t>
  </si>
  <si>
    <t>Cannot Se in CL - Missing Transaction Trace ID 0190655</t>
  </si>
  <si>
    <t>376275783995</t>
  </si>
  <si>
    <t>376271704995</t>
  </si>
  <si>
    <t>376274689995</t>
  </si>
  <si>
    <t>376273647994</t>
  </si>
  <si>
    <t>376261448991</t>
  </si>
  <si>
    <t>Missing Transactions - Trace ID 0201381</t>
  </si>
  <si>
    <t>Missing Transactions - Trace ID 0180182</t>
  </si>
  <si>
    <t>Missing Transactions - Trace ID 0204307</t>
  </si>
  <si>
    <t>Missing Transactions - Trace ID 0198069</t>
  </si>
  <si>
    <t>Cannot See in CL- Missing Transaction</t>
  </si>
  <si>
    <t>Missing Transactions - Trace ID 0198140</t>
  </si>
  <si>
    <t>Missing Transactions - Trace ID 0206959</t>
  </si>
  <si>
    <t>Missing Transactions - Trace ID 0192514</t>
  </si>
  <si>
    <t>Missing Transactions - Trace ID 0195978</t>
  </si>
  <si>
    <t>0190655</t>
  </si>
  <si>
    <t>0201381</t>
  </si>
  <si>
    <t>0180182</t>
  </si>
  <si>
    <t>0204307</t>
  </si>
  <si>
    <t>0198069</t>
  </si>
  <si>
    <t>0198140</t>
  </si>
  <si>
    <t>0206959</t>
  </si>
  <si>
    <t>0192514</t>
  </si>
  <si>
    <t>0195978</t>
  </si>
  <si>
    <t>376270396991</t>
  </si>
  <si>
    <t>376274480999</t>
  </si>
  <si>
    <t>376274282999</t>
  </si>
  <si>
    <t>376268417999</t>
  </si>
  <si>
    <t>Missing Transactions - Trace ID 0195397</t>
  </si>
  <si>
    <t>Missing Transactions - Trace ID 0200731</t>
  </si>
  <si>
    <t>Missing Transactions - Trace ID 0188895</t>
  </si>
  <si>
    <t>Missing Transactions - Trace ID 0187309</t>
  </si>
  <si>
    <t>Missing Transactions - Trace ID 0195904</t>
  </si>
  <si>
    <t>Missing Transactions - Trace ID 0203680</t>
  </si>
  <si>
    <t>0195397</t>
  </si>
  <si>
    <t>0200731</t>
  </si>
  <si>
    <t>0188895</t>
  </si>
  <si>
    <t>0187309</t>
  </si>
  <si>
    <t>0195904</t>
  </si>
  <si>
    <t>0203680</t>
  </si>
  <si>
    <t>376208819999</t>
  </si>
  <si>
    <t>Missing Transactions - Trace ID 0197028</t>
  </si>
  <si>
    <t>0197028</t>
  </si>
  <si>
    <t>Missing Transactions - Trace ID 0191686</t>
  </si>
  <si>
    <t>Missing Transactions - Trace ID 0186251</t>
  </si>
  <si>
    <t>Missing Transactions - Trace ID 0192387</t>
  </si>
  <si>
    <t>376272789995</t>
  </si>
  <si>
    <t>0191686</t>
  </si>
  <si>
    <t>0186251</t>
  </si>
  <si>
    <t>0192387</t>
  </si>
  <si>
    <t>376211773993</t>
  </si>
  <si>
    <t>Missing Transactions - Trace ID 0192926</t>
  </si>
  <si>
    <t>Missing Transactions - Trace ID 0189947</t>
  </si>
  <si>
    <t>Missing Transaction -  $41.81 Trace ID 0187377, $63.04 Trace ID 0198698, $124 Trace ID 0190501</t>
  </si>
  <si>
    <t>Missing Transactions - Trace ID 0198965</t>
  </si>
  <si>
    <t>0192926</t>
  </si>
  <si>
    <t>0189947</t>
  </si>
  <si>
    <t>0187377</t>
  </si>
  <si>
    <t>0198698</t>
  </si>
  <si>
    <t>0190501</t>
  </si>
  <si>
    <t>0198965</t>
  </si>
  <si>
    <t>376273598999</t>
  </si>
  <si>
    <t>376271824991</t>
  </si>
  <si>
    <t>376272834999</t>
  </si>
  <si>
    <t>376263383998</t>
  </si>
  <si>
    <t>376274495997</t>
  </si>
  <si>
    <t>376276446998</t>
  </si>
  <si>
    <t>376230230991</t>
  </si>
  <si>
    <t>Missing Transaction - Trace ID 0194039</t>
  </si>
  <si>
    <t>Missing Transaction - Trace ID 0206261</t>
  </si>
  <si>
    <t>Missing Transaction - Trace ID 0199364</t>
  </si>
  <si>
    <t>Missing Transaction - Trace ID 0196479</t>
  </si>
  <si>
    <t>Missing Transaction - Trace ID 0191421</t>
  </si>
  <si>
    <t>Missing Transaction - Trace ID 0189733</t>
  </si>
  <si>
    <t>Missing Transaction - Trace ID 0202031</t>
  </si>
  <si>
    <t>0194039</t>
  </si>
  <si>
    <t>0206261</t>
  </si>
  <si>
    <t>0199364</t>
  </si>
  <si>
    <t>0196479</t>
  </si>
  <si>
    <t>0191421</t>
  </si>
  <si>
    <t>0189733</t>
  </si>
  <si>
    <t>0202031</t>
  </si>
  <si>
    <t>Missing Transaction - Trace ID 0193078</t>
  </si>
  <si>
    <t>0193078</t>
  </si>
  <si>
    <t>376275532996</t>
  </si>
  <si>
    <t>376270994993</t>
  </si>
  <si>
    <t>Missing Transaction - Trace ID 0196382</t>
  </si>
  <si>
    <t>0196382</t>
  </si>
  <si>
    <t>376271823993</t>
  </si>
  <si>
    <t>Missing Transaction - Trace ID 0179933</t>
  </si>
  <si>
    <t>0179933</t>
  </si>
  <si>
    <t>376212867992</t>
  </si>
  <si>
    <t>Missing Credit Transaction - Trace ID 0124237</t>
  </si>
  <si>
    <t>06/4/17 to 6/10/17</t>
  </si>
  <si>
    <t>Missing Transactions - $111 Trace ID 0208600; $171 Trace ID 0209273; $22.90 Trace ID 0213485</t>
  </si>
  <si>
    <t>376272483995</t>
  </si>
  <si>
    <t>Missing Transaction - Trace ID 0236933</t>
  </si>
  <si>
    <t>Missing Transaction - Trace ID 0232920</t>
  </si>
  <si>
    <t>376272201991</t>
  </si>
  <si>
    <t>376254055993</t>
  </si>
  <si>
    <t>376271107991</t>
  </si>
  <si>
    <t>Missing Transaction - Trace ID 0233940</t>
  </si>
  <si>
    <t>Missing Transaction - Trace ID 0234095</t>
  </si>
  <si>
    <t>Missing Transaction - Trace ID 0214659</t>
  </si>
  <si>
    <t>Missing Transaction - Trace ID 0228471</t>
  </si>
  <si>
    <t>Missing Transaction - Trace ID 0237045</t>
  </si>
  <si>
    <t>376271128997</t>
  </si>
  <si>
    <t>Missing Transaction - Trace ID 0235541</t>
  </si>
  <si>
    <t>Missing Transaction - Trace ID 0219560</t>
  </si>
  <si>
    <t>Missing Transaction - Trace ID 0232859</t>
  </si>
  <si>
    <t>376273026991</t>
  </si>
  <si>
    <t>376262166998</t>
  </si>
  <si>
    <t>Missing Transaction - Trace ID 0216499</t>
  </si>
  <si>
    <t>Missing Transaction - Trace ID 0244892</t>
  </si>
  <si>
    <t>Missing Transaction - Trace ID 0214118</t>
  </si>
  <si>
    <t>Missing Transaction - Trace ID 0209732</t>
  </si>
  <si>
    <t>Missing Transaction - Trace ID 0244883</t>
  </si>
  <si>
    <t>Missing Transaction - Trace ID 0243369</t>
  </si>
  <si>
    <t>376272157995</t>
  </si>
  <si>
    <t>376246565992</t>
  </si>
  <si>
    <t>376265225999</t>
  </si>
  <si>
    <t>376273600993</t>
  </si>
  <si>
    <t>Missing Transaction - Trace ID 0246735</t>
  </si>
  <si>
    <t>Missing Transaction - Trace ID 0221682</t>
  </si>
  <si>
    <t>Missing Transaction - Trace ID 0230727</t>
  </si>
  <si>
    <t>Missing Transaction - Trace ID 0224359</t>
  </si>
  <si>
    <t>Missing Transaction - Trace ID 0231751</t>
  </si>
  <si>
    <t>Missing Transaction - Trace ID 0221435</t>
  </si>
  <si>
    <t>Missing Transaction - Trace ID 0227739</t>
  </si>
  <si>
    <t>376254052990</t>
  </si>
  <si>
    <t>Cannot See in CL - Missing Transaction Trace ID 0246440</t>
  </si>
  <si>
    <t>Cannot See in CL - Missing Transaction Trace ID 0217689</t>
  </si>
  <si>
    <t>376275977993</t>
  </si>
  <si>
    <t>Cannot See in CL - Missing Transaction Trace ID 0220815</t>
  </si>
  <si>
    <t>376262586997</t>
  </si>
  <si>
    <t>376260508993</t>
  </si>
  <si>
    <t>376254815990</t>
  </si>
  <si>
    <t>376270171998</t>
  </si>
  <si>
    <t>Missing Transaction - Trace ID 0214704</t>
  </si>
  <si>
    <t>Missing Transaction - Trace ID 0220184</t>
  </si>
  <si>
    <t>Missing Transaction - Trace ID 0206948</t>
  </si>
  <si>
    <t>Missing Transaction - Trace ID 0225983</t>
  </si>
  <si>
    <t>Missing Transaction - Trace ID 0213613</t>
  </si>
  <si>
    <t>Missing Transaction - Trace ID 0218838</t>
  </si>
  <si>
    <t>Missing Transaction - Trace ID 0229743</t>
  </si>
  <si>
    <t>Missing Transaction - Trace ID 0227327</t>
  </si>
  <si>
    <t>Missing Transaction - Trace ID 0218203</t>
  </si>
  <si>
    <t>376271893996</t>
  </si>
  <si>
    <t>Missing Transaction - Trace ID 0221168</t>
  </si>
  <si>
    <t>Missing Transaction - Trace ID 0227634</t>
  </si>
  <si>
    <t>Missing Transaction - Trace ID 0225250</t>
  </si>
  <si>
    <t>Missing Transaction - Trace ID 0229200</t>
  </si>
  <si>
    <t>Missing Transaction - Trace ID 0229108</t>
  </si>
  <si>
    <t>Missing Transaction - Trace ID 0212935</t>
  </si>
  <si>
    <t>Missing Transaction - Trace ID 0227785</t>
  </si>
  <si>
    <t>376255413993</t>
  </si>
  <si>
    <t>376273780993</t>
  </si>
  <si>
    <t>376253829992</t>
  </si>
  <si>
    <t>376271194999</t>
  </si>
  <si>
    <t>376265955991</t>
  </si>
  <si>
    <t>Missing Transaction - Trace ID 0221140</t>
  </si>
  <si>
    <t>Missing Transaction - Trace ID 0222839</t>
  </si>
  <si>
    <t>Missing Transaction - Trace ID 0227123</t>
  </si>
  <si>
    <t>Missing Transaction - Trace ID 0245443</t>
  </si>
  <si>
    <t>Missing Transaction - Trace ID 0212113</t>
  </si>
  <si>
    <t>Missing Transaction - Trace ID 0211143</t>
  </si>
  <si>
    <t>Missing Transaction - Trace ID 0211704</t>
  </si>
  <si>
    <t>Missing Transaction - Trace ID 0232987</t>
  </si>
  <si>
    <t>376271270997</t>
  </si>
  <si>
    <t>376270796992</t>
  </si>
  <si>
    <t>Missing Transaction - Trace ID 0233605</t>
  </si>
  <si>
    <t>Missing Transaction - Trace ID 0203415</t>
  </si>
  <si>
    <t>Missing Transaction - Trace ID 0238269</t>
  </si>
  <si>
    <t>376271068995</t>
  </si>
  <si>
    <t>Missing Transaction - Trace ID 0237652</t>
  </si>
  <si>
    <t>Missing Transaction - Trace ID 0200644</t>
  </si>
  <si>
    <t>Missing Transaction - Trace ID 0220071</t>
  </si>
  <si>
    <t>376274540990</t>
  </si>
  <si>
    <t>376267168999</t>
  </si>
  <si>
    <t>376274550999</t>
  </si>
  <si>
    <t>376267114993</t>
  </si>
  <si>
    <t>376214040994</t>
  </si>
  <si>
    <t>376238125995</t>
  </si>
  <si>
    <t>376273274997</t>
  </si>
  <si>
    <t>376272893995</t>
  </si>
  <si>
    <t>Missing Transaction - Trace ID 0243871</t>
  </si>
  <si>
    <t>Missing Transaction - Trace ID 0237832</t>
  </si>
  <si>
    <t>Missing Transaction - Trace ID 0228126</t>
  </si>
  <si>
    <t>Missing Transaction - Trace ID 0233223</t>
  </si>
  <si>
    <t>Missing Transaction - Trace ID 0207019</t>
  </si>
  <si>
    <t>Missing Transaction - Trace ID 0216781</t>
  </si>
  <si>
    <t>Missing Transaction - Trace ID 0208372</t>
  </si>
  <si>
    <t>Missing Transaction - Trace ID 0236241</t>
  </si>
  <si>
    <t>Missing Transaction - Trace ID 0226559</t>
  </si>
  <si>
    <t>Missing Transaction - Trace ID 0226722</t>
  </si>
  <si>
    <t>Missing Transaction - Trace ID 0230459</t>
  </si>
  <si>
    <t>Missing Transaction - Trace ID 0230993</t>
  </si>
  <si>
    <t>376258425994</t>
  </si>
  <si>
    <t>376271547998</t>
  </si>
  <si>
    <t>376233917990</t>
  </si>
  <si>
    <t>Missing Transaction - Trace ID 0217778</t>
  </si>
  <si>
    <t>Missing Transaction - Trace ID 0227074</t>
  </si>
  <si>
    <t>Missing Transaction - Trace ID 0203848</t>
  </si>
  <si>
    <t>Missing Transaction - Trace ID 0244054</t>
  </si>
  <si>
    <t>Missing Transaction - Trace ID 0245899</t>
  </si>
  <si>
    <t>376266523996</t>
  </si>
  <si>
    <t>376269047993</t>
  </si>
  <si>
    <t>376273591994</t>
  </si>
  <si>
    <t>376271208997</t>
  </si>
  <si>
    <t>Missing Transaction - Trace ID 0214763</t>
  </si>
  <si>
    <t>Missing Transaction - Trace ID 0242148</t>
  </si>
  <si>
    <t>Missing Transactions - $73.80 Trace ID 0223569; $65.36 Trace ID 0218926</t>
  </si>
  <si>
    <t>Missing Transaction - Trace ID 0204106</t>
  </si>
  <si>
    <t>376273590996</t>
  </si>
  <si>
    <t>376271743993</t>
  </si>
  <si>
    <t>376233835994</t>
  </si>
  <si>
    <t>376264644992</t>
  </si>
  <si>
    <t>376271225991</t>
  </si>
  <si>
    <t>Missing Transaction - Trace ID 0244924</t>
  </si>
  <si>
    <t>Missing Transactions $86.82 Trace ID 0244753; $67.95 Trace ID 0212934</t>
  </si>
  <si>
    <t>Missing Transaction - Trace ID 0222563</t>
  </si>
  <si>
    <t>Missing Transactions $68.76 Trace ID 0226595; $95.16 Trace ID 0225507</t>
  </si>
  <si>
    <t>Missing Transaction - Trace ID 0208856</t>
  </si>
  <si>
    <t>Missing Transaction - Trace ID 0212579</t>
  </si>
  <si>
    <t>Missing Transaction - Trace ID 0225060</t>
  </si>
  <si>
    <t>Missing Transaction - Trace ID 0220060</t>
  </si>
  <si>
    <t>Missing Transaction - Trace ID 0212712</t>
  </si>
  <si>
    <t>Missing Transaction -Trace ID 0233059</t>
  </si>
  <si>
    <t>Missing Transaction -81.47 - Trace ID 0229138, $133.80 - Trace ID 0225514</t>
  </si>
  <si>
    <t>Missing Transaction -Trace ID 0241103</t>
  </si>
  <si>
    <t>Missing Transaction -Trace ID 0224247</t>
  </si>
  <si>
    <t>Missing Transaction -Trace ID 0221727</t>
  </si>
  <si>
    <t>376265056998</t>
  </si>
  <si>
    <t>376211300995</t>
  </si>
  <si>
    <t>Trace ID 0218796</t>
  </si>
  <si>
    <t>376272012992</t>
  </si>
  <si>
    <t>376271136990</t>
  </si>
  <si>
    <t>Trace ID 0232803</t>
  </si>
  <si>
    <t>Missing Transaction $357.61 Trace ID 0216979; $54.91 Trace ID 0246618</t>
  </si>
  <si>
    <t>376274930993</t>
  </si>
  <si>
    <t>Missing Transaction - Trace ID 0218833</t>
  </si>
  <si>
    <t>Cannot See in CL - Missing Transaction Trace ID 0234800</t>
  </si>
  <si>
    <t>376274650997</t>
  </si>
  <si>
    <t>376275249997</t>
  </si>
  <si>
    <t>376274552995</t>
  </si>
  <si>
    <t>376274656994</t>
  </si>
  <si>
    <t>Cannot See in CL - Missing Transaction Trace ID 0224390</t>
  </si>
  <si>
    <t>376271820999</t>
  </si>
  <si>
    <t>Missing Credit Transaction - Trace ID 3205670</t>
  </si>
  <si>
    <t>376213426996</t>
  </si>
  <si>
    <t>0208600</t>
  </si>
  <si>
    <t>0209273</t>
  </si>
  <si>
    <t>0213485</t>
  </si>
  <si>
    <t>Missing Transaction - Trace ID 0215594</t>
  </si>
  <si>
    <t>0236933</t>
  </si>
  <si>
    <t>0232920</t>
  </si>
  <si>
    <t>0233940</t>
  </si>
  <si>
    <t>0234095</t>
  </si>
  <si>
    <t>0214659</t>
  </si>
  <si>
    <t>0228471</t>
  </si>
  <si>
    <t>0237045</t>
  </si>
  <si>
    <t>0235541</t>
  </si>
  <si>
    <t>0219560</t>
  </si>
  <si>
    <t>0232859</t>
  </si>
  <si>
    <t>0216499</t>
  </si>
  <si>
    <t>0244892</t>
  </si>
  <si>
    <t>0214118</t>
  </si>
  <si>
    <t>0209732</t>
  </si>
  <si>
    <t>0244883</t>
  </si>
  <si>
    <t>0243369</t>
  </si>
  <si>
    <t>0246735</t>
  </si>
  <si>
    <t>0221682</t>
  </si>
  <si>
    <t>0230727</t>
  </si>
  <si>
    <t>0224359</t>
  </si>
  <si>
    <t>0231751</t>
  </si>
  <si>
    <t>0221435</t>
  </si>
  <si>
    <t>0227739</t>
  </si>
  <si>
    <t>0246440</t>
  </si>
  <si>
    <t>0217689</t>
  </si>
  <si>
    <t>0220815</t>
  </si>
  <si>
    <t>0214704</t>
  </si>
  <si>
    <t>0220184</t>
  </si>
  <si>
    <t>0206948</t>
  </si>
  <si>
    <t>0225983</t>
  </si>
  <si>
    <t>0213613</t>
  </si>
  <si>
    <t>0218838</t>
  </si>
  <si>
    <t>0229743</t>
  </si>
  <si>
    <t>0227327</t>
  </si>
  <si>
    <t>0218203</t>
  </si>
  <si>
    <t>0221168</t>
  </si>
  <si>
    <t>0227634</t>
  </si>
  <si>
    <t>0225250</t>
  </si>
  <si>
    <t>0229200</t>
  </si>
  <si>
    <t>0229108</t>
  </si>
  <si>
    <t>0212935</t>
  </si>
  <si>
    <t>0227785</t>
  </si>
  <si>
    <t>0221140</t>
  </si>
  <si>
    <t>0222839</t>
  </si>
  <si>
    <t>0227123</t>
  </si>
  <si>
    <t>0215594</t>
  </si>
  <si>
    <t>0245443</t>
  </si>
  <si>
    <t>0212113</t>
  </si>
  <si>
    <t>0211143</t>
  </si>
  <si>
    <t>0211704</t>
  </si>
  <si>
    <t>0232987</t>
  </si>
  <si>
    <t>0233605</t>
  </si>
  <si>
    <t>0203415</t>
  </si>
  <si>
    <t>0238269</t>
  </si>
  <si>
    <t>0237652</t>
  </si>
  <si>
    <t>0200644</t>
  </si>
  <si>
    <t>0220071</t>
  </si>
  <si>
    <t>0243871</t>
  </si>
  <si>
    <t>0237832</t>
  </si>
  <si>
    <t>0228126</t>
  </si>
  <si>
    <t>0233223</t>
  </si>
  <si>
    <t>0207019</t>
  </si>
  <si>
    <t>0216781</t>
  </si>
  <si>
    <t>0208372</t>
  </si>
  <si>
    <t>0236241</t>
  </si>
  <si>
    <t>0226559</t>
  </si>
  <si>
    <t>0226722</t>
  </si>
  <si>
    <t>0230459</t>
  </si>
  <si>
    <t>0230993</t>
  </si>
  <si>
    <t>0217778</t>
  </si>
  <si>
    <t>0227074</t>
  </si>
  <si>
    <t>0203848</t>
  </si>
  <si>
    <t>0244054</t>
  </si>
  <si>
    <t>0245899</t>
  </si>
  <si>
    <t>0214763</t>
  </si>
  <si>
    <t>0242148</t>
  </si>
  <si>
    <t>0223569</t>
  </si>
  <si>
    <t>0218926</t>
  </si>
  <si>
    <t>0204106</t>
  </si>
  <si>
    <t>0244924</t>
  </si>
  <si>
    <t>0244753</t>
  </si>
  <si>
    <t>0212934</t>
  </si>
  <si>
    <t>0222563</t>
  </si>
  <si>
    <t>0225507</t>
  </si>
  <si>
    <t>0226595</t>
  </si>
  <si>
    <t>0208856</t>
  </si>
  <si>
    <t>0212579</t>
  </si>
  <si>
    <t>0225060</t>
  </si>
  <si>
    <t>0220060</t>
  </si>
  <si>
    <t>0212712</t>
  </si>
  <si>
    <t>0233059</t>
  </si>
  <si>
    <t>0229138</t>
  </si>
  <si>
    <t>0225514</t>
  </si>
  <si>
    <t>0241103</t>
  </si>
  <si>
    <t>0224247</t>
  </si>
  <si>
    <t>0221727</t>
  </si>
  <si>
    <t>0218796</t>
  </si>
  <si>
    <t>0232803</t>
  </si>
  <si>
    <t>0246618</t>
  </si>
  <si>
    <t>0216979</t>
  </si>
  <si>
    <t>0218833</t>
  </si>
  <si>
    <t>0234800</t>
  </si>
  <si>
    <t>0224390</t>
  </si>
  <si>
    <t>0205670</t>
  </si>
  <si>
    <t>Cannot See in CL- Missing Transaction We have received part of this missing amount for $128.90, still missing $75.90 updated Missing Transaction Tab.</t>
  </si>
  <si>
    <t>Missing Transaction - Trace ID 0270298</t>
  </si>
  <si>
    <t>0270298</t>
  </si>
  <si>
    <t>376272889993</t>
  </si>
  <si>
    <t>6/11 to 6/17</t>
  </si>
  <si>
    <t>0249703</t>
  </si>
  <si>
    <t>0245529</t>
  </si>
  <si>
    <t>0265037</t>
  </si>
  <si>
    <t>Missing Transaction - $60.64 Trace ID 0249703; $40.32 Trace ID 0245529; $49.50 Trace ID 0265037</t>
  </si>
  <si>
    <t>Missing Credit Transactions - Trace ID 0180436 Wash with Prev Week</t>
  </si>
  <si>
    <t>Missing Transaction - Trace ID 0261780</t>
  </si>
  <si>
    <t>0261780</t>
  </si>
  <si>
    <t>376255508990</t>
  </si>
  <si>
    <t>Missing Transaction - Trace ID 0273714</t>
  </si>
  <si>
    <t>Missing Transaction - Trace ID 0267905</t>
  </si>
  <si>
    <t>0267905</t>
  </si>
  <si>
    <t>0273714</t>
  </si>
  <si>
    <t>Missing Transaction - Trace ID 0274535</t>
  </si>
  <si>
    <t>376209083991</t>
  </si>
  <si>
    <t>Missing Transaction - Trace ID 0258396</t>
  </si>
  <si>
    <t>0274535</t>
  </si>
  <si>
    <t>0258396</t>
  </si>
  <si>
    <t>Missing Transactions - Trace ID 0250259</t>
  </si>
  <si>
    <t>0250259</t>
  </si>
  <si>
    <t>Missing Transaction - Trace ID 0246258</t>
  </si>
  <si>
    <t>0246258</t>
  </si>
  <si>
    <t>376274799992</t>
  </si>
  <si>
    <t>0256157</t>
  </si>
  <si>
    <t>Missing Transaction - Trace ID 0256157</t>
  </si>
  <si>
    <t>Missing Transaction - Trace ID 0239246</t>
  </si>
  <si>
    <t>0239246</t>
  </si>
  <si>
    <t>Missing Transactions - Trace ID 0237411</t>
  </si>
  <si>
    <t>0237411</t>
  </si>
  <si>
    <t>376225331994</t>
  </si>
  <si>
    <t>Missing Transactions - Trace ID 0262801</t>
  </si>
  <si>
    <t>0262801</t>
  </si>
  <si>
    <t>Missing Transactions - Trace ID 0258250</t>
  </si>
  <si>
    <t>0258250</t>
  </si>
  <si>
    <t>Missing Transaction - Trace ID 0261255</t>
  </si>
  <si>
    <t>Missing Transaction - Trace ID 0256562</t>
  </si>
  <si>
    <t>Missing Transaction - Trace ID 0247978</t>
  </si>
  <si>
    <t>376259044992</t>
  </si>
  <si>
    <t>376224421994</t>
  </si>
  <si>
    <t>0261255</t>
  </si>
  <si>
    <t>0256562</t>
  </si>
  <si>
    <t>0247978</t>
  </si>
  <si>
    <t>Missing Transaction - Trace ID 0268065</t>
  </si>
  <si>
    <t>0268065</t>
  </si>
  <si>
    <t>376273597991</t>
  </si>
  <si>
    <t>376275809998</t>
  </si>
  <si>
    <t>Cannot See in CL Missing Transaction</t>
  </si>
  <si>
    <t>Missing Transaction - Trace ID 0257365</t>
  </si>
  <si>
    <t>Missing Transaction - Trace ID 0228461</t>
  </si>
  <si>
    <t>376271531992</t>
  </si>
  <si>
    <t>376220694990</t>
  </si>
  <si>
    <t>0257365</t>
  </si>
  <si>
    <t>0228461</t>
  </si>
  <si>
    <t>Missing Transaction - Trace ID 0243089</t>
  </si>
  <si>
    <t>Missing Transaction - Trace ID 0238618</t>
  </si>
  <si>
    <t>376273186993</t>
  </si>
  <si>
    <t>376263243994</t>
  </si>
  <si>
    <t>0243089</t>
  </si>
  <si>
    <t>0238618</t>
  </si>
  <si>
    <t>Missing Transactions Trace ID 000000000000</t>
  </si>
  <si>
    <t>Missing Transactions Trace ID 0246329</t>
  </si>
  <si>
    <t>376264311998</t>
  </si>
  <si>
    <t>376222697991</t>
  </si>
  <si>
    <t>0246329</t>
  </si>
  <si>
    <t>Missing Transaction - Trace ID 0250580</t>
  </si>
  <si>
    <t>Missing Transaction - Trace ID 0234841</t>
  </si>
  <si>
    <t>0250580</t>
  </si>
  <si>
    <t>0234841</t>
  </si>
  <si>
    <t>376254035995</t>
  </si>
  <si>
    <t>Missing Transaction - Trace ID 0255664</t>
  </si>
  <si>
    <t>0255664</t>
  </si>
  <si>
    <t>376235651993</t>
  </si>
  <si>
    <t>Missing Transaction - Trace ID 0254131</t>
  </si>
  <si>
    <t>Missing Transaction - Trace ID 0250862</t>
  </si>
  <si>
    <t>0254131</t>
  </si>
  <si>
    <t>0250862</t>
  </si>
  <si>
    <t>376274874993</t>
  </si>
  <si>
    <t>376266834997</t>
  </si>
  <si>
    <t>Missing Transaction - Trace ID 0268644</t>
  </si>
  <si>
    <t>0268644</t>
  </si>
  <si>
    <t>Missing Transaction - Trace ID 0233907</t>
  </si>
  <si>
    <t>Missing Transaction - Trace ID 0258286</t>
  </si>
  <si>
    <t>0258286</t>
  </si>
  <si>
    <t>Missing Transaction - Trace ID 0272682</t>
  </si>
  <si>
    <t>0272682</t>
  </si>
  <si>
    <t>0241147</t>
  </si>
  <si>
    <t>Missing Transaction - Trace ID 0241147</t>
  </si>
  <si>
    <t>Missing Transaction - Trace ID 0258772</t>
  </si>
  <si>
    <t>376227172990</t>
  </si>
  <si>
    <t>0258772</t>
  </si>
  <si>
    <t>376213702990</t>
  </si>
  <si>
    <t>0247917</t>
  </si>
  <si>
    <t>Missing Transaction - Trace ID 0247917</t>
  </si>
  <si>
    <t>Missing Transaction - Trace ID 0254641</t>
  </si>
  <si>
    <t>0254641</t>
  </si>
  <si>
    <t>Missing Transaction - Trace ID 0267723</t>
  </si>
  <si>
    <t>0267723</t>
  </si>
  <si>
    <t>Missing Transaction - Trace ID 0268882</t>
  </si>
  <si>
    <t>0268882</t>
  </si>
  <si>
    <t>376226775991</t>
  </si>
  <si>
    <t>Missing Transaction - $68.88 Trace ID 0258272; $63.64 Trace ID 0273875</t>
  </si>
  <si>
    <t>0258272</t>
  </si>
  <si>
    <t>0273875</t>
  </si>
  <si>
    <t>Missing Transaction - Trace ID 0252740</t>
  </si>
  <si>
    <t>376264930995</t>
  </si>
  <si>
    <t>0252740</t>
  </si>
  <si>
    <t>Missing Transaction - Trace ID 0267396</t>
  </si>
  <si>
    <t>0267396</t>
  </si>
  <si>
    <t>376263228995</t>
  </si>
  <si>
    <t>Missing Transaction - Trace ID 0258710</t>
  </si>
  <si>
    <t>0258710</t>
  </si>
  <si>
    <t>Missing Transaction - Trace ID 0234922</t>
  </si>
  <si>
    <t>376272322995</t>
  </si>
  <si>
    <t>0234922</t>
  </si>
  <si>
    <t>Missing Transaction - Trace ID 0259533</t>
  </si>
  <si>
    <t>376273099998</t>
  </si>
  <si>
    <t>0259533</t>
  </si>
  <si>
    <t>Missing Transactions - $71.96 Trace ID 0236942; $117.96 Trace ID 0252646</t>
  </si>
  <si>
    <t>376271791992</t>
  </si>
  <si>
    <t>0236942</t>
  </si>
  <si>
    <t>0252646</t>
  </si>
  <si>
    <t>376276002999</t>
  </si>
  <si>
    <t>Missing Transaction - Trace ID 0253823</t>
  </si>
  <si>
    <t>376228579995</t>
  </si>
  <si>
    <t>0253823</t>
  </si>
  <si>
    <t>376265058994</t>
  </si>
  <si>
    <t>Missing Transaction - Trace ID 0232949</t>
  </si>
  <si>
    <t>0232949</t>
  </si>
  <si>
    <t>Missing Transaction - Trace ID 0245764</t>
  </si>
  <si>
    <t>376274076995</t>
  </si>
  <si>
    <t>0245764</t>
  </si>
  <si>
    <t>Missing Transactions - $109.53 Trace ID 0228195; $101.76 Trace ID 0261178</t>
  </si>
  <si>
    <t>0228195</t>
  </si>
  <si>
    <t>0261178</t>
  </si>
  <si>
    <t>Missing Transaction - Trace ID 0240303</t>
  </si>
  <si>
    <t>376210792994</t>
  </si>
  <si>
    <t>0240303</t>
  </si>
  <si>
    <t>Missing Transaction - Trace ID 0251273</t>
  </si>
  <si>
    <t>376271774998</t>
  </si>
  <si>
    <t>0251273</t>
  </si>
  <si>
    <t>Missing Transaction - Trace ID 0241770</t>
  </si>
  <si>
    <t>0241770</t>
  </si>
  <si>
    <t>Missing Transaction - Trace ID 0260630</t>
  </si>
  <si>
    <t>376273011993</t>
  </si>
  <si>
    <t>0260630</t>
  </si>
  <si>
    <t>Missing Transaction - Trace ID 0273750</t>
  </si>
  <si>
    <t>0273750</t>
  </si>
  <si>
    <t>Missing Transaction - Trace ID 0245164</t>
  </si>
  <si>
    <t>Missing Transaction - Trace ID 0275772</t>
  </si>
  <si>
    <t>0245164</t>
  </si>
  <si>
    <t>0275772</t>
  </si>
  <si>
    <t>Missing Transaction - Trace ID 0242288</t>
  </si>
  <si>
    <t>376266289994</t>
  </si>
  <si>
    <t>0242288</t>
  </si>
  <si>
    <t>Missing Transactions $129.95 - Trace ID 0248682, $107.95 Trace ID 0265433</t>
  </si>
  <si>
    <t>0248682</t>
  </si>
  <si>
    <t>0265433</t>
  </si>
  <si>
    <t>Missing Transaction -Trace ID 0242243</t>
  </si>
  <si>
    <t>Missing Transaction - Trace ID 0240611</t>
  </si>
  <si>
    <t>0242243</t>
  </si>
  <si>
    <t>0240611</t>
  </si>
  <si>
    <t>376273670996</t>
  </si>
  <si>
    <t>376259070997</t>
  </si>
  <si>
    <t>Missing Transaction - Trace ID 0254253</t>
  </si>
  <si>
    <t>376208752992</t>
  </si>
  <si>
    <t>0254253</t>
  </si>
  <si>
    <t>Missing Transaction $29.90 Trace ID 0250567 &amp; $277.16 Trace ID 0264328</t>
  </si>
  <si>
    <t>376266182991</t>
  </si>
  <si>
    <t>0250567</t>
  </si>
  <si>
    <t>0264328</t>
  </si>
  <si>
    <t>Missing Transaction Trace ID 0268867</t>
  </si>
  <si>
    <t>0268867</t>
  </si>
  <si>
    <t>376273357990</t>
  </si>
  <si>
    <t>Missing Transaction Trace ID 0253252</t>
  </si>
  <si>
    <t>0253252</t>
  </si>
  <si>
    <t>Missing Transaction Trace ID 0227184</t>
  </si>
  <si>
    <t>376273761993</t>
  </si>
  <si>
    <t>0227184</t>
  </si>
  <si>
    <t>Missing Transaction Trace ID 0225478</t>
  </si>
  <si>
    <t>376269816991</t>
  </si>
  <si>
    <t>0225478</t>
  </si>
  <si>
    <t>Missing Transaction Trace ID 0259170</t>
  </si>
  <si>
    <t>0259170</t>
  </si>
  <si>
    <t>Missing Transaction $56.95 Trace ID 0256393 &amp; $94.95 - Trace ID 0260722</t>
  </si>
  <si>
    <t>0260722</t>
  </si>
  <si>
    <t>0256393</t>
  </si>
  <si>
    <t>Missing Transaction $321.85 Trace ID 0258062 &amp; $138.90 Trace ID 0266732</t>
  </si>
  <si>
    <t>0258062</t>
  </si>
  <si>
    <t>0266732</t>
  </si>
  <si>
    <t>Missing Transaction Trace ID 0265348</t>
  </si>
  <si>
    <t>0265348</t>
  </si>
  <si>
    <t>0265912</t>
  </si>
  <si>
    <t>0244343</t>
  </si>
  <si>
    <t>this is rec'vd, should not have been missing due to offsets with voided transaction.</t>
  </si>
  <si>
    <t>this is rec'vd, should not have been missing this is actually EF</t>
  </si>
  <si>
    <t>Unvoided, This relates to mid 37627468995</t>
  </si>
  <si>
    <t>6/18 to 6/24</t>
  </si>
  <si>
    <t>Missing Transaction - Trace ID 0291582</t>
  </si>
  <si>
    <t>Missing transaction - Trace ID 0285328</t>
  </si>
  <si>
    <t>376273191993</t>
  </si>
  <si>
    <t>Missing Transaction - Trace ID 0286889</t>
  </si>
  <si>
    <t>Missing Transaction - trace ID 3291919</t>
  </si>
  <si>
    <t>Missing Transaction - Trace ID 0281446</t>
  </si>
  <si>
    <t>376267652992</t>
  </si>
  <si>
    <t>Missing Transaction - $206.22 Trace ID 02785566, $67 Trace ID 0286884, $109.78 Trace ID 0298316</t>
  </si>
  <si>
    <t>376274253990</t>
  </si>
  <si>
    <t>Missing Transaction - Trace ID 0261295</t>
  </si>
  <si>
    <t>Missing Transaction - Trace ID 0302696</t>
  </si>
  <si>
    <t>Missing Transaction - Trace ID 0304210</t>
  </si>
  <si>
    <t>Missing Transaction - Trace ID 0287977</t>
  </si>
  <si>
    <t>376264931993</t>
  </si>
  <si>
    <t>Missing Transaction - Trace ID 0279040</t>
  </si>
  <si>
    <t>Missing Transaction - Trace ID 0276013</t>
  </si>
  <si>
    <t>376272059993</t>
  </si>
  <si>
    <t>Missing Transaction - Trace ID 0281752</t>
  </si>
  <si>
    <t>Missing Transaction - Trace ID 0282621</t>
  </si>
  <si>
    <t>Missing Transaction - Trace ID 0292345</t>
  </si>
  <si>
    <t>Missing Transaction - Trace ID 0298874</t>
  </si>
  <si>
    <t>Missing Transaction - Trace ID 0283329</t>
  </si>
  <si>
    <t>Missing Transaction - Trace ID 0290668</t>
  </si>
  <si>
    <t>0288488</t>
  </si>
  <si>
    <t>Missing Transaction - Trace ID 0294391</t>
  </si>
  <si>
    <t>Missing Transaction - Trace ID 0283782</t>
  </si>
  <si>
    <t>Missing Transaction - Trace ID 0305368</t>
  </si>
  <si>
    <t>Missing Transaction - Trace ID 0290242</t>
  </si>
  <si>
    <t>Missing Transaction - Trace ID 0285171</t>
  </si>
  <si>
    <t>376267723991</t>
  </si>
  <si>
    <t>376273509996</t>
  </si>
  <si>
    <t>Missing Transaction - Trace ID 0288803</t>
  </si>
  <si>
    <t>Missing Transaction - Trace ID 0274394</t>
  </si>
  <si>
    <t>Missing Transaction - Trace ID 0262008</t>
  </si>
  <si>
    <t>Missing Transaction - Trace ID 0303911</t>
  </si>
  <si>
    <t>376229311992</t>
  </si>
  <si>
    <t>376259934994</t>
  </si>
  <si>
    <t>376271604997</t>
  </si>
  <si>
    <t>Missing Transaction - Trace ID 0290561</t>
  </si>
  <si>
    <t>Missing Transaction - Trace ID 0283304</t>
  </si>
  <si>
    <t>Missing Transaction - Trace ID 0299147</t>
  </si>
  <si>
    <t>376240851992</t>
  </si>
  <si>
    <t>376271723995</t>
  </si>
  <si>
    <t>376273292999</t>
  </si>
  <si>
    <t>Missing Transaction - Trace ID 0298080</t>
  </si>
  <si>
    <t>376276111998</t>
  </si>
  <si>
    <t>376274776990</t>
  </si>
  <si>
    <t>Missing Transaction - Trace ID 0293156</t>
  </si>
  <si>
    <t>Missing Transaction - Trace ID 0288440</t>
  </si>
  <si>
    <t>Missing Transaction -  $49.95 Trace ID 0286631; $56.40 Trace ID 0304729</t>
  </si>
  <si>
    <t>Missing Transaction - Trace ID 0292805</t>
  </si>
  <si>
    <t>376271419990</t>
  </si>
  <si>
    <t>376271803995</t>
  </si>
  <si>
    <t>376274475999</t>
  </si>
  <si>
    <t>Missing Transaction - Trace ID 0294392</t>
  </si>
  <si>
    <t>Missing Transaction - $25.19 Trace ID 0302051 &amp; $91.65 Trace ID 0303077</t>
  </si>
  <si>
    <t>Missing Transaction - Trace ID 0282416</t>
  </si>
  <si>
    <t>Missing Transaction - $59.10 Trace ID 0300419 &amp; $92.95 - Trace ID 0289073</t>
  </si>
  <si>
    <t>Missing Transaction -Trace ID 0288223</t>
  </si>
  <si>
    <t>Missing Transaction -Trace ID 0287271</t>
  </si>
  <si>
    <t>Missing Transaction -Trace ID 0288355</t>
  </si>
  <si>
    <t>Missing Transaction -Trace ID 0282738</t>
  </si>
  <si>
    <t>Missing Transaction - Trace ID 0285323</t>
  </si>
  <si>
    <t>376272781992</t>
  </si>
  <si>
    <t>376212390995</t>
  </si>
  <si>
    <t>376271061990</t>
  </si>
  <si>
    <t>Missing Transaction - Trace ID 0281419</t>
  </si>
  <si>
    <t>Missing Transaction - Trace ID 0294188</t>
  </si>
  <si>
    <t>Missing Transaction - Trace ID 0276944</t>
  </si>
  <si>
    <t>Missing Transaction - Trace ID 0290178</t>
  </si>
  <si>
    <t>Missing Transaction - Trace ID 0260995</t>
  </si>
  <si>
    <t>Missing Transaction - Trace ID 0282714</t>
  </si>
  <si>
    <t>376263745998</t>
  </si>
  <si>
    <t>376271792990</t>
  </si>
  <si>
    <t>0278875</t>
  </si>
  <si>
    <t>376265467997</t>
  </si>
  <si>
    <t>Voided, did not receive funding.</t>
  </si>
  <si>
    <t>Cannot See in CL Missing Credit Transactions</t>
  </si>
  <si>
    <t>0275918</t>
  </si>
  <si>
    <t>0276581</t>
  </si>
  <si>
    <t>275627</t>
  </si>
  <si>
    <t>0228518</t>
  </si>
  <si>
    <t>0230110</t>
  </si>
  <si>
    <t>0272954</t>
  </si>
  <si>
    <t>0265694</t>
  </si>
  <si>
    <t>0291582</t>
  </si>
  <si>
    <t>0285328</t>
  </si>
  <si>
    <t>0286889</t>
  </si>
  <si>
    <t>0291919</t>
  </si>
  <si>
    <t>0281446</t>
  </si>
  <si>
    <t>0278556</t>
  </si>
  <si>
    <t>0286884</t>
  </si>
  <si>
    <t>0298316</t>
  </si>
  <si>
    <t>0261295</t>
  </si>
  <si>
    <t>0302696</t>
  </si>
  <si>
    <t>0304210</t>
  </si>
  <si>
    <t>0287977</t>
  </si>
  <si>
    <t>0279040</t>
  </si>
  <si>
    <t>0276013</t>
  </si>
  <si>
    <t>02817252</t>
  </si>
  <si>
    <t>028621</t>
  </si>
  <si>
    <t>0292345</t>
  </si>
  <si>
    <t>0298874</t>
  </si>
  <si>
    <t>0283329</t>
  </si>
  <si>
    <t>0290668</t>
  </si>
  <si>
    <t>0294391</t>
  </si>
  <si>
    <t>0290242</t>
  </si>
  <si>
    <t>0285171</t>
  </si>
  <si>
    <t>0288803</t>
  </si>
  <si>
    <t>0274394</t>
  </si>
  <si>
    <t>0262008</t>
  </si>
  <si>
    <t>0303911</t>
  </si>
  <si>
    <t>0290561</t>
  </si>
  <si>
    <t>0283304</t>
  </si>
  <si>
    <t>0299147</t>
  </si>
  <si>
    <t>0298080</t>
  </si>
  <si>
    <t>0293156</t>
  </si>
  <si>
    <t>0288440</t>
  </si>
  <si>
    <t>0286631</t>
  </si>
  <si>
    <t>0304729</t>
  </si>
  <si>
    <t>0292805</t>
  </si>
  <si>
    <t>0294392</t>
  </si>
  <si>
    <t>0302051</t>
  </si>
  <si>
    <t>0303077</t>
  </si>
  <si>
    <t>0282416</t>
  </si>
  <si>
    <t>0300419</t>
  </si>
  <si>
    <t>0289073</t>
  </si>
  <si>
    <t>0288223</t>
  </si>
  <si>
    <t>0287271</t>
  </si>
  <si>
    <t>0282738</t>
  </si>
  <si>
    <t>0285323</t>
  </si>
  <si>
    <t>0281419</t>
  </si>
  <si>
    <t>0294188</t>
  </si>
  <si>
    <t>0288355</t>
  </si>
  <si>
    <t>0276944</t>
  </si>
  <si>
    <t>0290178</t>
  </si>
  <si>
    <t>0260995</t>
  </si>
  <si>
    <t>0282714</t>
  </si>
  <si>
    <t>3282621</t>
  </si>
  <si>
    <t>Missing Credit Transaction - Trace ID 0290561</t>
  </si>
  <si>
    <t>6/25 to 7/02</t>
  </si>
  <si>
    <t xml:space="preserve">Missing Credit Transaction - Trace ID 0215759 </t>
  </si>
  <si>
    <t>0215759</t>
  </si>
  <si>
    <t>Missing Credit Transaction - Trace ID 0292345 Washes with Prev Week</t>
  </si>
  <si>
    <t>wash with missing credit below</t>
  </si>
  <si>
    <t>Missing Transaction - $201.90 Trace ID 0319728; $141.60 Trace ID 0330718</t>
  </si>
  <si>
    <t>376272324991</t>
  </si>
  <si>
    <t>0319728</t>
  </si>
  <si>
    <t>0330718</t>
  </si>
  <si>
    <t>Missing Transaction - Trace ID 0311806</t>
  </si>
  <si>
    <t>0311806</t>
  </si>
  <si>
    <t>Missing Transaction - Trace ID 0308247</t>
  </si>
  <si>
    <t>0308247</t>
  </si>
  <si>
    <t>376267641995</t>
  </si>
  <si>
    <t>Missing Transaction - Trace ID 0335929</t>
  </si>
  <si>
    <t>0335929</t>
  </si>
  <si>
    <t>Missing Transaction - Trace ID 0309239</t>
  </si>
  <si>
    <t>376272578992</t>
  </si>
  <si>
    <t>0309239</t>
  </si>
  <si>
    <t>376261338994</t>
  </si>
  <si>
    <t>376268181991</t>
  </si>
  <si>
    <t>376209664998</t>
  </si>
  <si>
    <t>Missing Transaction - Trace ID 0322007</t>
  </si>
  <si>
    <t>Missing Transaction - Trace ID 0307784</t>
  </si>
  <si>
    <t>Missing Transaction - Trace ID 0323173</t>
  </si>
  <si>
    <t>Missing Transaction - Trace ID 0315267</t>
  </si>
  <si>
    <t>0322007</t>
  </si>
  <si>
    <t>0307784</t>
  </si>
  <si>
    <t>0323173</t>
  </si>
  <si>
    <t>0315267</t>
  </si>
  <si>
    <t>Missing Transaction - Trace ID 0303010</t>
  </si>
  <si>
    <t>0303010</t>
  </si>
  <si>
    <t>Missing Transaction - $19.90 Trace ID 0333148; $19.56 Trace ID 0320074</t>
  </si>
  <si>
    <t>0333148</t>
  </si>
  <si>
    <t>0320074</t>
  </si>
  <si>
    <t>Missing Transaction - Trace ID 0321764</t>
  </si>
  <si>
    <t>0321764</t>
  </si>
  <si>
    <t>Missing Transaction - Trace ID 0304767</t>
  </si>
  <si>
    <t>Missing Transaction - Trace ID 0315849</t>
  </si>
  <si>
    <t>Missing Transaction - Trace ID 0320243</t>
  </si>
  <si>
    <t>376271369997</t>
  </si>
  <si>
    <t>376274547995</t>
  </si>
  <si>
    <t>376216194997</t>
  </si>
  <si>
    <t>0304767</t>
  </si>
  <si>
    <t>0315849</t>
  </si>
  <si>
    <t>0320243</t>
  </si>
  <si>
    <t>Missing Transaction - Trace ID 0315692</t>
  </si>
  <si>
    <t>0315692</t>
  </si>
  <si>
    <t>376272829999</t>
  </si>
  <si>
    <t>376238764991</t>
  </si>
  <si>
    <t>376267462996</t>
  </si>
  <si>
    <t>376271765996</t>
  </si>
  <si>
    <t>376269257998</t>
  </si>
  <si>
    <t>376273876999</t>
  </si>
  <si>
    <t>376272134994</t>
  </si>
  <si>
    <t>Missing Transaction - Trace ID 0320541</t>
  </si>
  <si>
    <t>Missing Transaction - Trace ID 0331260</t>
  </si>
  <si>
    <t>Missing Transaction - Trace ID 0321805</t>
  </si>
  <si>
    <t>Missing Transaction - Trace ID 0319180</t>
  </si>
  <si>
    <t>Missing Transaction - Trace ID 0321772</t>
  </si>
  <si>
    <t>Missing Transaction - Trace ID 0320584</t>
  </si>
  <si>
    <t>Missing Transaction - Trace ID 0321882</t>
  </si>
  <si>
    <t>Missing Transaction - Trace ID 0321718</t>
  </si>
  <si>
    <t>Missing Transaction - Trace ID 0324463</t>
  </si>
  <si>
    <t>Missing Transaction - Trace ID 0311490</t>
  </si>
  <si>
    <t>Missing Transaction - Trace ID 0319861</t>
  </si>
  <si>
    <t>Missing Transaction - Trace ID 0314260</t>
  </si>
  <si>
    <t>Missing Transaction - Trace ID 0310016</t>
  </si>
  <si>
    <t>Missing Transaction - Trace ID 0317905</t>
  </si>
  <si>
    <t>Missing Transaction - Trace ID 0321825</t>
  </si>
  <si>
    <t>0320541</t>
  </si>
  <si>
    <t>0331260</t>
  </si>
  <si>
    <t>0321805</t>
  </si>
  <si>
    <t>0319180</t>
  </si>
  <si>
    <t>0321772</t>
  </si>
  <si>
    <t>0320584</t>
  </si>
  <si>
    <t>0321882</t>
  </si>
  <si>
    <t>0321718</t>
  </si>
  <si>
    <t>0324463</t>
  </si>
  <si>
    <t>0311490</t>
  </si>
  <si>
    <t>0319861</t>
  </si>
  <si>
    <t>0314260</t>
  </si>
  <si>
    <t>0310016</t>
  </si>
  <si>
    <t>0317905</t>
  </si>
  <si>
    <t>0321825</t>
  </si>
  <si>
    <t>Missing Transaction - Trace ID 0337900</t>
  </si>
  <si>
    <t>0337900</t>
  </si>
  <si>
    <t>Missing Transaction - Trace ID 0297948</t>
  </si>
  <si>
    <t>Missing Transaction - Trace ID 0318929</t>
  </si>
  <si>
    <t>Missing Transaction - Trace ID 0330891</t>
  </si>
  <si>
    <t>376274743990</t>
  </si>
  <si>
    <t>0297948</t>
  </si>
  <si>
    <t>0318929</t>
  </si>
  <si>
    <t>0330891</t>
  </si>
  <si>
    <t>Missing Transaction - Trace ID 0320104</t>
  </si>
  <si>
    <t>Missing Transaction - Trace ID 0321795</t>
  </si>
  <si>
    <t>Missing Transaction - Trace ID 0323614</t>
  </si>
  <si>
    <t>Missing Transaction - Trace ID 0310317</t>
  </si>
  <si>
    <t>Missing Transaction - Trace ID 0318915</t>
  </si>
  <si>
    <t>376268943994</t>
  </si>
  <si>
    <t>376272036991</t>
  </si>
  <si>
    <t>376266276991</t>
  </si>
  <si>
    <t>376266319999</t>
  </si>
  <si>
    <t>0320104</t>
  </si>
  <si>
    <t>0321795</t>
  </si>
  <si>
    <t>0323614</t>
  </si>
  <si>
    <t>0310317</t>
  </si>
  <si>
    <t>0318915</t>
  </si>
  <si>
    <t>Missing Transaction - Trace ID 0321732</t>
  </si>
  <si>
    <t>Missing Transaction - Trace ID 0335688</t>
  </si>
  <si>
    <t>Missing Transaction - Trace ID 0307706</t>
  </si>
  <si>
    <t>Missing Transaction - Trace ID 0321808</t>
  </si>
  <si>
    <t>Missing Transaction - Trace ID 0307089</t>
  </si>
  <si>
    <t>376268589995</t>
  </si>
  <si>
    <t>376255503991</t>
  </si>
  <si>
    <t>376273997993</t>
  </si>
  <si>
    <t>0321732</t>
  </si>
  <si>
    <t>0335688</t>
  </si>
  <si>
    <t>0307706</t>
  </si>
  <si>
    <t>0321808</t>
  </si>
  <si>
    <t>0307089</t>
  </si>
  <si>
    <t>Missing Transaction - Trace ID 0319176</t>
  </si>
  <si>
    <t>Missing Transaction - Trace ID 0315263</t>
  </si>
  <si>
    <t>Missing Transaction - Trace ID 0320149</t>
  </si>
  <si>
    <t>Missing Transaction - Trace ID 0315922</t>
  </si>
  <si>
    <t>376262731999</t>
  </si>
  <si>
    <t>376272136999</t>
  </si>
  <si>
    <t>0319176</t>
  </si>
  <si>
    <t>0315263</t>
  </si>
  <si>
    <t>0320149</t>
  </si>
  <si>
    <t>0315922</t>
  </si>
  <si>
    <t>Missing Transaction - Trace ID 0319859</t>
  </si>
  <si>
    <t>Missing Transaction - Trace ID 0321685</t>
  </si>
  <si>
    <t>Missing Transaction - Trace ID 0319171</t>
  </si>
  <si>
    <t>376219346990</t>
  </si>
  <si>
    <t>376274074990</t>
  </si>
  <si>
    <t>0319859</t>
  </si>
  <si>
    <t>0321685</t>
  </si>
  <si>
    <t>0319171</t>
  </si>
  <si>
    <t>Missing Transaction - Trace ID 0313628</t>
  </si>
  <si>
    <t>Missing Transaction - $59.68 Trace ID 0320403; $39.63 Trace ID 0322001</t>
  </si>
  <si>
    <t>376274107998</t>
  </si>
  <si>
    <t>0313628</t>
  </si>
  <si>
    <t>0320403</t>
  </si>
  <si>
    <t>0322001</t>
  </si>
  <si>
    <t>Missing Transaction - Trace ID 0313021</t>
  </si>
  <si>
    <t>0313021</t>
  </si>
  <si>
    <t>Missing Transaction - Trace ID 0308383</t>
  </si>
  <si>
    <t>Missing Transaction - Trace ID 0320618</t>
  </si>
  <si>
    <t>Missing Transaction - Trace ID 0328561</t>
  </si>
  <si>
    <t>Missing Transaction - Trace ID 0325987</t>
  </si>
  <si>
    <t>Missing Transaction - $24.96 Trace ID 0321823; $98.91 Trace ID 0335622</t>
  </si>
  <si>
    <t>Missing Transaction - Trace ID 0320183</t>
  </si>
  <si>
    <t>Missing Transaction - Trace ID 0317401</t>
  </si>
  <si>
    <t>Missing Transaction - Trace ID 0313855</t>
  </si>
  <si>
    <t>Missing Transaction - Trace ID 0338326</t>
  </si>
  <si>
    <t>Missing Transaction - Trace ID 0328336</t>
  </si>
  <si>
    <t>Missing Transaction - Trace ID 0308964</t>
  </si>
  <si>
    <t>Missing Transaction - Trace ID 0328399</t>
  </si>
  <si>
    <t>Missing Transaction - Trace ID 0318728</t>
  </si>
  <si>
    <t>Missing Transaction - Trace ID 0315301</t>
  </si>
  <si>
    <t>376272433990</t>
  </si>
  <si>
    <t>376272721998</t>
  </si>
  <si>
    <t>376274664998</t>
  </si>
  <si>
    <t>0308383</t>
  </si>
  <si>
    <t>0320618</t>
  </si>
  <si>
    <t>0328561</t>
  </si>
  <si>
    <t>0325987</t>
  </si>
  <si>
    <t>0321823</t>
  </si>
  <si>
    <t>0335622</t>
  </si>
  <si>
    <t>0320183</t>
  </si>
  <si>
    <t>0317401</t>
  </si>
  <si>
    <t>0313855</t>
  </si>
  <si>
    <t>0338326</t>
  </si>
  <si>
    <t>0328336</t>
  </si>
  <si>
    <t>0328399</t>
  </si>
  <si>
    <t>0318728</t>
  </si>
  <si>
    <t>0315301</t>
  </si>
  <si>
    <t>Missing Transaction - Trace ID 0317356</t>
  </si>
  <si>
    <t>Missing Transaction - Trace ID 0322126</t>
  </si>
  <si>
    <t>Missing Transaction - Trace ID 0312896</t>
  </si>
  <si>
    <t>Missing Transaction - Trace ID 0315439</t>
  </si>
  <si>
    <t>Missing Transaction - Trace ID 0319381</t>
  </si>
  <si>
    <t>Missing Transaction - Trace ID 0316311</t>
  </si>
  <si>
    <t>Missing Transaction - Trace ID 0320514</t>
  </si>
  <si>
    <t>376265702997</t>
  </si>
  <si>
    <t>0317356</t>
  </si>
  <si>
    <t>0322126</t>
  </si>
  <si>
    <t>0312896</t>
  </si>
  <si>
    <t>0315439</t>
  </si>
  <si>
    <t>0319381</t>
  </si>
  <si>
    <t>0316311</t>
  </si>
  <si>
    <t>0320514</t>
  </si>
  <si>
    <t>Missing Transaction - $108.07 Trace ID 0314976; $61.43 Trace ID 0320499</t>
  </si>
  <si>
    <t>0314976</t>
  </si>
  <si>
    <t>0320499</t>
  </si>
  <si>
    <t>Missing Transaction - Trace ID 0330167</t>
  </si>
  <si>
    <t>Missing Transaction - Trace ID 0308162</t>
  </si>
  <si>
    <t>Missing Transaction - Trace ID 0311361</t>
  </si>
  <si>
    <t>0330167</t>
  </si>
  <si>
    <t>0308162</t>
  </si>
  <si>
    <t>0311361</t>
  </si>
  <si>
    <t>Missing Transaction - Trace ID 0323894</t>
  </si>
  <si>
    <t>Missing Transaction - Trace ID 0336608</t>
  </si>
  <si>
    <t>Missing Transaction - Trace ID 0316302</t>
  </si>
  <si>
    <t>0323894</t>
  </si>
  <si>
    <t>0336608</t>
  </si>
  <si>
    <t>0316302</t>
  </si>
  <si>
    <t>Missing Transaction - Trace ID 0323493</t>
  </si>
  <si>
    <t>376265959993</t>
  </si>
  <si>
    <t>0323493</t>
  </si>
  <si>
    <t>376270708997</t>
  </si>
  <si>
    <t>Missing Transaction - Trace ID 0330364</t>
  </si>
  <si>
    <t>0330364</t>
  </si>
  <si>
    <t>Missing Amex Trans. Trace ID 0312880</t>
  </si>
  <si>
    <t>376213118999</t>
  </si>
  <si>
    <t>0312880</t>
  </si>
  <si>
    <t>Voided, This is showing up as a duplicate transaction.  Funding was received for only one of these transactions.  The other transaction has been voided.</t>
  </si>
  <si>
    <t>0305368</t>
  </si>
  <si>
    <t>0308964</t>
  </si>
  <si>
    <t>Voided, This transaction was received after the 06/4/17 to 6/10/17 transactions were reconciled for funding week 06/07/2017 to 06/13/2017. this was voided late.</t>
  </si>
  <si>
    <t>Missing Amex Transaction - Trace ID 0265912 We did receive funding for this transaction.  Still showing as missing.</t>
  </si>
  <si>
    <t>Missing Amex Transaction - Trace ID 0244343 We did receive the funding for this missing transaction. This was not actually missing, but a part of the Prev Amex Transactions not Rec'vd for this week.</t>
  </si>
  <si>
    <t>Missing Transaction - Trace ID 0339609</t>
  </si>
  <si>
    <t>0339609</t>
  </si>
  <si>
    <t>7/3 to 7/8</t>
  </si>
  <si>
    <t>Missing Transaction - Trace ID 0360020</t>
  </si>
  <si>
    <t>376267341992</t>
  </si>
  <si>
    <t>0360020</t>
  </si>
  <si>
    <t>Missing Transaction - Trace ID 0332039</t>
  </si>
  <si>
    <t>0332039</t>
  </si>
  <si>
    <t>Missing Transaction - Trace ID 0362165</t>
  </si>
  <si>
    <t>Missing Transaction - Trace ID 0342428</t>
  </si>
  <si>
    <t>Missing Transaction - Trace ID 0357731</t>
  </si>
  <si>
    <t>0362165</t>
  </si>
  <si>
    <t>0342428</t>
  </si>
  <si>
    <t>0357731</t>
  </si>
  <si>
    <t>376215237995</t>
  </si>
  <si>
    <t>376262032992</t>
  </si>
  <si>
    <t>Missing Transaction - Trace ID 0352463</t>
  </si>
  <si>
    <t>Missing Transaction - Trace ID 0331155</t>
  </si>
  <si>
    <t>Missing Transaction - Trace ID 0348307</t>
  </si>
  <si>
    <t>Missing Transaction - Trace ID 0339190</t>
  </si>
  <si>
    <t>Missing Transaction - Trace ID 0348659</t>
  </si>
  <si>
    <t>Missing Transaction - Trace ID 0362126</t>
  </si>
  <si>
    <t>Missing Transaction - Trace ID 0352566</t>
  </si>
  <si>
    <t>0352463</t>
  </si>
  <si>
    <t>0348307</t>
  </si>
  <si>
    <t>0339190</t>
  </si>
  <si>
    <t>0348659</t>
  </si>
  <si>
    <t>0362126</t>
  </si>
  <si>
    <t>0352566</t>
  </si>
  <si>
    <t>0331155</t>
  </si>
  <si>
    <t>Missing Transaction - Trace ID 0362793</t>
  </si>
  <si>
    <t>Missing Transaction - Trace ID 0348678</t>
  </si>
  <si>
    <t>0362793</t>
  </si>
  <si>
    <t>376266889991</t>
  </si>
  <si>
    <t>Missing Transaction - Trace ID 0316658</t>
  </si>
  <si>
    <t>Missing Transaction - Trace ID 0362301</t>
  </si>
  <si>
    <t>0316658</t>
  </si>
  <si>
    <t>0362301</t>
  </si>
  <si>
    <t>Missing Transaction - Trace ID 0349717</t>
  </si>
  <si>
    <t>Missing Transaction - Trace ID 0348679</t>
  </si>
  <si>
    <t>Missing Transaction - Trace ID 0358941</t>
  </si>
  <si>
    <t>Missing Transaction - Trace ID 0357548</t>
  </si>
  <si>
    <t>Missing Transaction - Trace ID 0355542</t>
  </si>
  <si>
    <t>Missing Transaction - Trace ID 0346591</t>
  </si>
  <si>
    <t>Missing Transaction - Trace ID 0338617</t>
  </si>
  <si>
    <t>376267129991</t>
  </si>
  <si>
    <t>376266493992</t>
  </si>
  <si>
    <t>376273432991</t>
  </si>
  <si>
    <t>376257525992</t>
  </si>
  <si>
    <t>0349717</t>
  </si>
  <si>
    <t>0358941</t>
  </si>
  <si>
    <t>0357548</t>
  </si>
  <si>
    <t>0355542</t>
  </si>
  <si>
    <t>0346591</t>
  </si>
  <si>
    <t>0338617</t>
  </si>
  <si>
    <t>0348679</t>
  </si>
  <si>
    <t>Missing Transaction - Trace ID 0323682</t>
  </si>
  <si>
    <t>Missing Transaction - Trace ID 0340224</t>
  </si>
  <si>
    <t>Missing Transaction - Trace ID 0341519</t>
  </si>
  <si>
    <t>Missing Transaction - Trace ID 0345561</t>
  </si>
  <si>
    <t>Missing Transaction - Trace ID 0357925</t>
  </si>
  <si>
    <t>Missing Transaction - Trace ID 0333591</t>
  </si>
  <si>
    <t>Missing Transaction - Trace ID 0360504</t>
  </si>
  <si>
    <t>Missing Transaction - Trace ID 0360623</t>
  </si>
  <si>
    <t>Missing Transaction - Trace ID 0339819</t>
  </si>
  <si>
    <t>376275430993</t>
  </si>
  <si>
    <t>376213720992</t>
  </si>
  <si>
    <t>376270297991</t>
  </si>
  <si>
    <t>376273756993</t>
  </si>
  <si>
    <t>376269205997</t>
  </si>
  <si>
    <t>0323682</t>
  </si>
  <si>
    <t>0341519</t>
  </si>
  <si>
    <t>0345561</t>
  </si>
  <si>
    <t>0357925</t>
  </si>
  <si>
    <t>0333591</t>
  </si>
  <si>
    <t>0360504</t>
  </si>
  <si>
    <t>0360623</t>
  </si>
  <si>
    <t>0339819</t>
  </si>
  <si>
    <t>0340224</t>
  </si>
  <si>
    <t>Missing Transaction - Trace ID 0338142</t>
  </si>
  <si>
    <t>Missing Transaction - Trace ID 0358940</t>
  </si>
  <si>
    <t>376268515990</t>
  </si>
  <si>
    <t>0338142</t>
  </si>
  <si>
    <t>0358940</t>
  </si>
  <si>
    <t>Missing Transaction - Trace ID 0353464</t>
  </si>
  <si>
    <t>Missing Transaction - Trace ID 0339862</t>
  </si>
  <si>
    <t>Missing Transaction - Trace ID 0352680</t>
  </si>
  <si>
    <t>Missing Transaction - Trace ID 0362597</t>
  </si>
  <si>
    <t>Missing Transaction - Trace ID 0350026</t>
  </si>
  <si>
    <t>Missing Transaction - $89.94 Trace ID 0360072; $4.34 Trace ID 0344630</t>
  </si>
  <si>
    <t>376270840998</t>
  </si>
  <si>
    <t>376275985996</t>
  </si>
  <si>
    <t>376212576999</t>
  </si>
  <si>
    <t>0353464</t>
  </si>
  <si>
    <t>0352680</t>
  </si>
  <si>
    <t>0362597</t>
  </si>
  <si>
    <t>0350026</t>
  </si>
  <si>
    <t>0344630</t>
  </si>
  <si>
    <t>0339862</t>
  </si>
  <si>
    <t>0360072</t>
  </si>
  <si>
    <t>Missing Transaction - Trace ID 0342826</t>
  </si>
  <si>
    <t>Missing Transaction - Trace ID 0333696</t>
  </si>
  <si>
    <t>Missing Transaction - Trace ID 0351413</t>
  </si>
  <si>
    <t>Missing Transaction - Trace ID 0349788</t>
  </si>
  <si>
    <t>Missing Transaction - Trace ID 0342053</t>
  </si>
  <si>
    <t>Missing Transaction - Trace ID 0357361</t>
  </si>
  <si>
    <t>Missing Transaction - Trace ID 0351308</t>
  </si>
  <si>
    <t>376274403991</t>
  </si>
  <si>
    <t>376271601993</t>
  </si>
  <si>
    <t>0342826</t>
  </si>
  <si>
    <t>0351413</t>
  </si>
  <si>
    <t>0349788</t>
  </si>
  <si>
    <t>0342053</t>
  </si>
  <si>
    <t>0357361</t>
  </si>
  <si>
    <t>0351308</t>
  </si>
  <si>
    <t>0333696</t>
  </si>
  <si>
    <t>Missing Transaction - Trace ID 0345606</t>
  </si>
  <si>
    <t>0345606</t>
  </si>
  <si>
    <t>Missing Transaction - Trace ID 0354941</t>
  </si>
  <si>
    <t>Missing Transaction - Trace ID 0337631</t>
  </si>
  <si>
    <t>Missing Transaction - Trace ID 0342423</t>
  </si>
  <si>
    <t>Missing Transaction - Trace ID 0343896</t>
  </si>
  <si>
    <t>Missing Transaction - Trace ID 0331364</t>
  </si>
  <si>
    <t>376273407993</t>
  </si>
  <si>
    <t>376273405997</t>
  </si>
  <si>
    <t>0354941</t>
  </si>
  <si>
    <t>0342423</t>
  </si>
  <si>
    <t>0343896</t>
  </si>
  <si>
    <t>0331364</t>
  </si>
  <si>
    <t>0337631</t>
  </si>
  <si>
    <t>Missing Transaction - Trace ID 0345651</t>
  </si>
  <si>
    <t>0345651</t>
  </si>
  <si>
    <t>Missing Transaction - $139.13 Trace ID 0349693; $69.01 Trace ID 0350574</t>
  </si>
  <si>
    <t>0349693</t>
  </si>
  <si>
    <t>0350574</t>
  </si>
  <si>
    <t>Missing Transaction - Trace ID 0355517</t>
  </si>
  <si>
    <t>Missing Transaction - Trace ID 0340594</t>
  </si>
  <si>
    <t>Missing Transaction - Trace ID 0342705</t>
  </si>
  <si>
    <t>Missing Transaction - Trace ID 0355079</t>
  </si>
  <si>
    <t>Missing Transaction - Trace ID 0339537</t>
  </si>
  <si>
    <t>376262021995</t>
  </si>
  <si>
    <t>376244581991</t>
  </si>
  <si>
    <t>376224479992</t>
  </si>
  <si>
    <t>0355517</t>
  </si>
  <si>
    <t>0342705</t>
  </si>
  <si>
    <t>0355079</t>
  </si>
  <si>
    <t>0339537</t>
  </si>
  <si>
    <t>0340594</t>
  </si>
  <si>
    <t>Missing Transaction - Trace ID 0350252</t>
  </si>
  <si>
    <t>0350252</t>
  </si>
  <si>
    <t>Missing Transaction - Trace ID 0361044</t>
  </si>
  <si>
    <t>376273987994</t>
  </si>
  <si>
    <t>0361044</t>
  </si>
  <si>
    <t>Missing Transaction -  $704.90 Trace ID 0354869; $165.41 Trace ID 0356776</t>
  </si>
  <si>
    <t>376271513990</t>
  </si>
  <si>
    <t>0354869</t>
  </si>
  <si>
    <t>0356776</t>
  </si>
  <si>
    <t>376274754997</t>
  </si>
  <si>
    <t>0362496</t>
  </si>
  <si>
    <t>376275377996</t>
  </si>
  <si>
    <t>376275471997</t>
  </si>
  <si>
    <t xml:space="preserve"> Missing Transaction Trace ID 0362496 Cannot See in CL - Pulled details from Old CL</t>
  </si>
  <si>
    <t>7/9 to 7/15</t>
  </si>
  <si>
    <t>Missing Transaction - Trace ID 0380973</t>
  </si>
  <si>
    <t>376274524994</t>
  </si>
  <si>
    <t>0380973</t>
  </si>
  <si>
    <t>0364469</t>
  </si>
  <si>
    <t>0364984</t>
  </si>
  <si>
    <t>0369778</t>
  </si>
  <si>
    <t xml:space="preserve"> $224 Missing Transaction - Trace ID 0364469; $47.27 Trace ID 0364984; $98.33 Trace ID 0369778</t>
  </si>
  <si>
    <t>Missing Credit Transaction - Trace ID 0288803 Washes with Prev Week.</t>
  </si>
  <si>
    <t>Missing Credit Transaction - Trace ID 0342428 Washes with Prev Week.</t>
  </si>
  <si>
    <t>Missing Credit Transaction - Trace ID 0362165 Washes with Prev Week.</t>
  </si>
  <si>
    <t>Missing Transaction - Trace ID 0366043</t>
  </si>
  <si>
    <t>0366043</t>
  </si>
  <si>
    <t>Missing Transaction - Trace ID 0378626</t>
  </si>
  <si>
    <t>Missing Transaction - Trace ID 0376805</t>
  </si>
  <si>
    <t>0378626</t>
  </si>
  <si>
    <t>0376805</t>
  </si>
  <si>
    <t>Missing Transaction - $33.90 Trace ID 0356119; $65.95 Trace ID 0385151</t>
  </si>
  <si>
    <t>Missing Transaction - Trace ID 0372380</t>
  </si>
  <si>
    <t>Missing Transaction - Trace ID 0378748</t>
  </si>
  <si>
    <t>Missing Transaction - Trace ID 0378405</t>
  </si>
  <si>
    <t>Missing Transaction - Trace ID 0362371</t>
  </si>
  <si>
    <t>376271934998</t>
  </si>
  <si>
    <t>0356119</t>
  </si>
  <si>
    <t>0385151</t>
  </si>
  <si>
    <t>0372380</t>
  </si>
  <si>
    <t>0378405</t>
  </si>
  <si>
    <t>0378748</t>
  </si>
  <si>
    <t>0362371</t>
  </si>
  <si>
    <t>Missing Transaction - Trace ID 0367334</t>
  </si>
  <si>
    <t>Missing Transaction - Trace ID 0379741</t>
  </si>
  <si>
    <t>0367334</t>
  </si>
  <si>
    <t>0379741</t>
  </si>
  <si>
    <t>Missing Transaction - Trace ID 0375901</t>
  </si>
  <si>
    <t>0375901</t>
  </si>
  <si>
    <t>376273090997</t>
  </si>
  <si>
    <t>376239379997</t>
  </si>
  <si>
    <t>Missing Transaction - Trace ID 0377195</t>
  </si>
  <si>
    <t>Missing Transaction - Trace ID 0377049</t>
  </si>
  <si>
    <t>0377195</t>
  </si>
  <si>
    <t>0377049</t>
  </si>
  <si>
    <t>376255525994</t>
  </si>
  <si>
    <t>Missing Transaction - Trace ID 0383601</t>
  </si>
  <si>
    <t>Missing Transaction - Trace ID 0380237</t>
  </si>
  <si>
    <t>Missing Transaction - Trace ID 0368936</t>
  </si>
  <si>
    <t>Missing Transaction - Trace ID 0372144</t>
  </si>
  <si>
    <t>0383601</t>
  </si>
  <si>
    <t>0368936</t>
  </si>
  <si>
    <t>0372144</t>
  </si>
  <si>
    <t>0380237</t>
  </si>
  <si>
    <t>0362907</t>
  </si>
  <si>
    <t>Missing Transaction - Trace ID 0362907</t>
  </si>
  <si>
    <t>Missing Transaction - Trace ID 0364191</t>
  </si>
  <si>
    <t>Missing Transaction - Trace ID 0380730</t>
  </si>
  <si>
    <t>Missing Transaction - Trace ID 0380781</t>
  </si>
  <si>
    <t>Missing Transaction - Trace ID 0370831</t>
  </si>
  <si>
    <t>Missing Transaction - Trace ID 0364019</t>
  </si>
  <si>
    <t>Missing Transaction - Trace ID 0380333</t>
  </si>
  <si>
    <t>Missing Transaction - Trace ID 0382348</t>
  </si>
  <si>
    <t>Missing Transaction - Trace ID 0375058</t>
  </si>
  <si>
    <t>666111</t>
  </si>
  <si>
    <t>376213357993</t>
  </si>
  <si>
    <t>376274018997</t>
  </si>
  <si>
    <t>0364191</t>
  </si>
  <si>
    <t>0380781</t>
  </si>
  <si>
    <t>0370831</t>
  </si>
  <si>
    <t>0364019</t>
  </si>
  <si>
    <t>0380333</t>
  </si>
  <si>
    <t>0382348</t>
  </si>
  <si>
    <t>0375058</t>
  </si>
  <si>
    <t>0380730</t>
  </si>
  <si>
    <t>Missing Transaction - Trace ID 0392870</t>
  </si>
  <si>
    <t>Missing Transactions - Trace ID 0383790</t>
  </si>
  <si>
    <t>Missing Transactions - Trace ID 0384246</t>
  </si>
  <si>
    <t>Missing Transactions - Trace ID 0390783</t>
  </si>
  <si>
    <t>Missing Transactions - Trace ID 0391899</t>
  </si>
  <si>
    <t>376272313994</t>
  </si>
  <si>
    <t>0392870</t>
  </si>
  <si>
    <t>0384246</t>
  </si>
  <si>
    <t>0390783</t>
  </si>
  <si>
    <t>0391899</t>
  </si>
  <si>
    <t>0383790</t>
  </si>
  <si>
    <t>Missing Transactions - Trace ID 0362248</t>
  </si>
  <si>
    <t>Missing Transactions - Trace ID 0361003</t>
  </si>
  <si>
    <t>0362248</t>
  </si>
  <si>
    <t>0361003</t>
  </si>
  <si>
    <t>Missing Transactions - Trace ID 0389655</t>
  </si>
  <si>
    <t>Missing Transactions - Trace ID 0386389</t>
  </si>
  <si>
    <t>376266655996</t>
  </si>
  <si>
    <t>376272096995</t>
  </si>
  <si>
    <t>0389655</t>
  </si>
  <si>
    <t>0386389</t>
  </si>
  <si>
    <t>Missing Transactions - Trace ID 0378402</t>
  </si>
  <si>
    <t>Missing Transactions - Trace ID 0390298</t>
  </si>
  <si>
    <t>Missing Transactions - Trace ID 0364528</t>
  </si>
  <si>
    <t>Missing Transactions - Trace ID 0380121</t>
  </si>
  <si>
    <t>Missing Transactions - Trace ID 0387274</t>
  </si>
  <si>
    <t>376273525992</t>
  </si>
  <si>
    <t>376271011995</t>
  </si>
  <si>
    <t>376238567998</t>
  </si>
  <si>
    <t>376275640997</t>
  </si>
  <si>
    <t>0390298</t>
  </si>
  <si>
    <t>0364528</t>
  </si>
  <si>
    <t>0380121</t>
  </si>
  <si>
    <t>0378402</t>
  </si>
  <si>
    <t>0387274</t>
  </si>
  <si>
    <t>Missing Transaction - Trace ID 0369800</t>
  </si>
  <si>
    <t>376267346991</t>
  </si>
  <si>
    <t>0369800</t>
  </si>
  <si>
    <t>376273404990</t>
  </si>
  <si>
    <t>376267623993</t>
  </si>
  <si>
    <t>Missing Transaction - Trace ID 0389859</t>
  </si>
  <si>
    <t>Missing Transaction - Trace ID 0386654</t>
  </si>
  <si>
    <t>Missing Transaction - Trace ID 0386612</t>
  </si>
  <si>
    <t>Missing Transaction - Trace ID 0377761</t>
  </si>
  <si>
    <t>Missing Transaction - Trace ID 0390384</t>
  </si>
  <si>
    <t>0389859</t>
  </si>
  <si>
    <t>0386612</t>
  </si>
  <si>
    <t>0377761</t>
  </si>
  <si>
    <t>0390384</t>
  </si>
  <si>
    <t>0386654</t>
  </si>
  <si>
    <t>Missing Transaction - Trace ID 0389877</t>
  </si>
  <si>
    <t>Missing Transaction - Trace ID 0389148</t>
  </si>
  <si>
    <t>Missing Transaction - Trace ID 0386228</t>
  </si>
  <si>
    <t>Missing Transaction - Trace ID 0363263</t>
  </si>
  <si>
    <t>Missing Transaction - Trace ID 0384392</t>
  </si>
  <si>
    <t>Missing Transaction - $54.95 Trace ID 0367039; $64.95 Trace ID 0373584</t>
  </si>
  <si>
    <t>Missing Transaction - Trace ID 0389504</t>
  </si>
  <si>
    <t>Missing Transaction - Trace ID 0391704</t>
  </si>
  <si>
    <t>Missing Transaction - Trace ID 0387968</t>
  </si>
  <si>
    <t>Missing Transaction - $68.95 Trace ID 0395008; $68.95 Trace ID 0395003</t>
  </si>
  <si>
    <t>Missing Transaction -Trace ID 0368231</t>
  </si>
  <si>
    <t>Missing Transaction -Trace ID 0381639</t>
  </si>
  <si>
    <t>Missing Transaction -Trace ID 0365656</t>
  </si>
  <si>
    <t>Missing Transaction -Trace ID 0381843</t>
  </si>
  <si>
    <t>Missing Transaction -Trace ID 0384683</t>
  </si>
  <si>
    <t>Missing Transaction -Trace ID 0377826</t>
  </si>
  <si>
    <t>Missing Transaction - $69.98 Trace ID 0390789; $84.90 Trace ID 0385527</t>
  </si>
  <si>
    <t>Missing Transaction - $91.97 Trace ID 0369463; $63.70 Trace ID 0379246</t>
  </si>
  <si>
    <t>376229174994</t>
  </si>
  <si>
    <t>376232373997</t>
  </si>
  <si>
    <t>376266600992</t>
  </si>
  <si>
    <t>376265621999</t>
  </si>
  <si>
    <t>Missing Transaction - Trace ID 0363944</t>
  </si>
  <si>
    <t>Missing Transaction - Trace ID 0381479</t>
  </si>
  <si>
    <t>Missing Transaction - Trace ID 0380224</t>
  </si>
  <si>
    <t>Missing Transaction - Trace ID 0363441</t>
  </si>
  <si>
    <t>Missing Transaction - Trace ID 0383663</t>
  </si>
  <si>
    <t>Missing Transaction - Trace ID  0355685</t>
  </si>
  <si>
    <t>376274281991</t>
  </si>
  <si>
    <t>376231945993</t>
  </si>
  <si>
    <t>376271883997</t>
  </si>
  <si>
    <t>376267101990</t>
  </si>
  <si>
    <t>376274792997</t>
  </si>
  <si>
    <t>376255215992</t>
  </si>
  <si>
    <t>376273565998</t>
  </si>
  <si>
    <t>Missing Transaction - Trace ID  0385993</t>
  </si>
  <si>
    <t>Missing Transaction - Trace ID  0380416</t>
  </si>
  <si>
    <t>Missing Transaction - Trace ID  0370637</t>
  </si>
  <si>
    <t>Missing Transaction - Trace ID  0377937</t>
  </si>
  <si>
    <t>Missing Transaction - Trace ID  0390191</t>
  </si>
  <si>
    <t>Missing Transaction - Trace ID  0388357</t>
  </si>
  <si>
    <t>Missing Transaction - $221.80 - Trace ID  0369249 &amp; $30.65 - Trace ID  0382346</t>
  </si>
  <si>
    <t>Missing Transaction - $136.90 - Trace ID  0350377 &amp; $122.95 -  Trace ID 0374136</t>
  </si>
  <si>
    <t>Missing Transaction - Trace ID  0366765</t>
  </si>
  <si>
    <t>Missing Transaction - Trace ID  0368191</t>
  </si>
  <si>
    <t>Missing Transaction - Trace ID  0370922</t>
  </si>
  <si>
    <t>0389877</t>
  </si>
  <si>
    <t>0386228</t>
  </si>
  <si>
    <t>0363263</t>
  </si>
  <si>
    <t>0384392</t>
  </si>
  <si>
    <t>0373584</t>
  </si>
  <si>
    <t>0389504</t>
  </si>
  <si>
    <t>0391704</t>
  </si>
  <si>
    <t>0387968</t>
  </si>
  <si>
    <t>0395003</t>
  </si>
  <si>
    <t>0368231</t>
  </si>
  <si>
    <t>0381639</t>
  </si>
  <si>
    <t>0365656</t>
  </si>
  <si>
    <t>0381843</t>
  </si>
  <si>
    <t>0384683</t>
  </si>
  <si>
    <t>0377826</t>
  </si>
  <si>
    <t>0385527</t>
  </si>
  <si>
    <t>0389148</t>
  </si>
  <si>
    <t>0379246</t>
  </si>
  <si>
    <t>0363944</t>
  </si>
  <si>
    <t>0381479</t>
  </si>
  <si>
    <t>0380224</t>
  </si>
  <si>
    <t>0363441</t>
  </si>
  <si>
    <t>0383663</t>
  </si>
  <si>
    <t>0355685</t>
  </si>
  <si>
    <t>0385993</t>
  </si>
  <si>
    <t>0380416</t>
  </si>
  <si>
    <t>0370637</t>
  </si>
  <si>
    <t>0377937</t>
  </si>
  <si>
    <t>0390191</t>
  </si>
  <si>
    <t>0388357</t>
  </si>
  <si>
    <t>0382346</t>
  </si>
  <si>
    <t>0374136</t>
  </si>
  <si>
    <t>0366765</t>
  </si>
  <si>
    <t>0368191</t>
  </si>
  <si>
    <t>0370922</t>
  </si>
  <si>
    <t>0367039</t>
  </si>
  <si>
    <t>0395008</t>
  </si>
  <si>
    <t>0390789</t>
  </si>
  <si>
    <t>0369463</t>
  </si>
  <si>
    <t>0369249</t>
  </si>
  <si>
    <t>0350377</t>
  </si>
  <si>
    <t>3389148</t>
  </si>
  <si>
    <t>3386228</t>
  </si>
  <si>
    <t>3363263</t>
  </si>
  <si>
    <t>3384392</t>
  </si>
  <si>
    <t>3367039</t>
  </si>
  <si>
    <t>3373584</t>
  </si>
  <si>
    <t>3389504</t>
  </si>
  <si>
    <t>3391704</t>
  </si>
  <si>
    <t>3387968</t>
  </si>
  <si>
    <t>3395008</t>
  </si>
  <si>
    <t>3395003</t>
  </si>
  <si>
    <t>3368231</t>
  </si>
  <si>
    <t>3381639</t>
  </si>
  <si>
    <t>3365656</t>
  </si>
  <si>
    <t>3381843</t>
  </si>
  <si>
    <t>3384683</t>
  </si>
  <si>
    <t>3377826</t>
  </si>
  <si>
    <t>3390789</t>
  </si>
  <si>
    <t>3385527</t>
  </si>
  <si>
    <t>3369463</t>
  </si>
  <si>
    <t>3379246</t>
  </si>
  <si>
    <t>3363944</t>
  </si>
  <si>
    <t>3381479</t>
  </si>
  <si>
    <t>3380224</t>
  </si>
  <si>
    <t>3363441</t>
  </si>
  <si>
    <t>3383663</t>
  </si>
  <si>
    <t>3355685</t>
  </si>
  <si>
    <t>3385993</t>
  </si>
  <si>
    <t>3380416</t>
  </si>
  <si>
    <t>3370637</t>
  </si>
  <si>
    <t>3377937</t>
  </si>
  <si>
    <t>3390191</t>
  </si>
  <si>
    <t>3388357</t>
  </si>
  <si>
    <t>3369249</t>
  </si>
  <si>
    <t>3382346</t>
  </si>
  <si>
    <t>3350377</t>
  </si>
  <si>
    <t>3374136</t>
  </si>
  <si>
    <t>3366765</t>
  </si>
  <si>
    <t>3368191</t>
  </si>
  <si>
    <t>3370922</t>
  </si>
  <si>
    <t>376274822992</t>
  </si>
  <si>
    <t>376274634991</t>
  </si>
  <si>
    <t>376274549991</t>
  </si>
  <si>
    <t>Voided, This is showing as Amex in CL. Did not Receive Funding for this transaction</t>
  </si>
  <si>
    <t>Voided, Did not Receive funding due to financial adjustment.</t>
  </si>
  <si>
    <t>0388000</t>
  </si>
  <si>
    <t>Amex Missing Transaction</t>
  </si>
  <si>
    <t>Missing Transaction - Trace ID 0380604</t>
  </si>
  <si>
    <t>7/16 to 7/22</t>
  </si>
  <si>
    <t>376269340992</t>
  </si>
  <si>
    <t>0380604</t>
  </si>
  <si>
    <t>Missing Transaction - Trace ID 0419598</t>
  </si>
  <si>
    <t>Missing Transaction - Trace ID 0395846</t>
  </si>
  <si>
    <t>376274543994</t>
  </si>
  <si>
    <t>0419598</t>
  </si>
  <si>
    <t>0395846</t>
  </si>
  <si>
    <t>376271629994</t>
  </si>
  <si>
    <t>Missing Transaction - Trace ID 0395587</t>
  </si>
  <si>
    <t>Missing Transaction - Trace ID 0414366</t>
  </si>
  <si>
    <t>0395587</t>
  </si>
  <si>
    <t>0414366</t>
  </si>
  <si>
    <t>376274193998</t>
  </si>
  <si>
    <t>376272592993</t>
  </si>
  <si>
    <t>Missing Transaction - Trace ID 0393928</t>
  </si>
  <si>
    <t>Missing Transaction - Trace ID 0417390</t>
  </si>
  <si>
    <t>Missing Transaction - Trace ID 0399076</t>
  </si>
  <si>
    <t>Missing Transaction - Trace ID 0394146</t>
  </si>
  <si>
    <t>0393928</t>
  </si>
  <si>
    <t>0417390</t>
  </si>
  <si>
    <t>0399076</t>
  </si>
  <si>
    <t>0394146</t>
  </si>
  <si>
    <t>Missing Transaction - Trace ID 0390724</t>
  </si>
  <si>
    <t>Missing Transaction - Trace ID 0416320</t>
  </si>
  <si>
    <t>0390724</t>
  </si>
  <si>
    <t>0416320</t>
  </si>
  <si>
    <t>Missing Transaction - Trace ID 0395456</t>
  </si>
  <si>
    <t>376267092991</t>
  </si>
  <si>
    <t>0395456</t>
  </si>
  <si>
    <t>Missing Transaction - Trace ID 0394177</t>
  </si>
  <si>
    <t>0394177</t>
  </si>
  <si>
    <t>Missing Transaction - Trace ID 0395425</t>
  </si>
  <si>
    <t>Missing Transaction - Trace ID 0397131</t>
  </si>
  <si>
    <t>Missing Transaction - $51.32 Trace ID 0395100, $54.55 Trace ID 0395865</t>
  </si>
  <si>
    <t>Missing Transaction - Trace ID 0392072</t>
  </si>
  <si>
    <t>Missing Transaction - Trace ID 0405861</t>
  </si>
  <si>
    <t>376274111990</t>
  </si>
  <si>
    <t>0395425</t>
  </si>
  <si>
    <t>0395865</t>
  </si>
  <si>
    <t>0392072</t>
  </si>
  <si>
    <t>0405861</t>
  </si>
  <si>
    <t>0397131</t>
  </si>
  <si>
    <t>0395100</t>
  </si>
  <si>
    <t>Missing Transaction - Trace ID 0390421</t>
  </si>
  <si>
    <t>0390421</t>
  </si>
  <si>
    <t>Missing Transaction - Trace ID 0410422</t>
  </si>
  <si>
    <t>Missing Transaction - Trace ID 0416762</t>
  </si>
  <si>
    <t>Missing Transaction - Trace ID 0400985</t>
  </si>
  <si>
    <t>376276004995</t>
  </si>
  <si>
    <t>0410422</t>
  </si>
  <si>
    <t>0416762</t>
  </si>
  <si>
    <t>0400985</t>
  </si>
  <si>
    <t>Missing Transaction - $115.43 Trace ID 0388057, $118.58 Trace ID 0396418, $248.82 Trace ID 0383851</t>
  </si>
  <si>
    <t>0388057</t>
  </si>
  <si>
    <t>0396418</t>
  </si>
  <si>
    <t>0383851</t>
  </si>
  <si>
    <t>Voided, Did not Receive funding due to Financial Adjustments.</t>
  </si>
  <si>
    <t>376239339991</t>
  </si>
  <si>
    <t>376255524997</t>
  </si>
  <si>
    <t>Voided, This was received after the week was balanced.  We did not receive funding for this order.</t>
  </si>
  <si>
    <t>Missing Transaction - Trace ID 0275627 This is actually a missing transaction that came in with an incorrect date of 6/19/17</t>
  </si>
  <si>
    <t>Missing Transaction - Trace ID 0275918 This is actually a missing transaction that came in with an incorrect date of 6/19/17</t>
  </si>
  <si>
    <t>Missing Transaction - Trace ID 0276581 This is actually a missing transaction that came in with an incorrect date of 6/19/17</t>
  </si>
  <si>
    <t>Missing Transaction - Trace ID 0278875 This is actually a missing transaction that came in with an incorrect date of 6/19/17</t>
  </si>
  <si>
    <t>7/23 to 7/29</t>
  </si>
  <si>
    <t>Missing Credit Transaction Wash with prev week, Trace ID 0384246</t>
  </si>
  <si>
    <t>Missing Credit Transaction Wash with prev week, Trace ID 0290668</t>
  </si>
  <si>
    <t>Missing Credit Transaction Wash with prev week, Trace ID 0395003</t>
  </si>
  <si>
    <t>Wash with missing trans. Above</t>
  </si>
  <si>
    <t>Missing Transaction - Trace ID 0443058</t>
  </si>
  <si>
    <t>Missing Transaction - Trace ID 0426212</t>
  </si>
  <si>
    <t>376235004995</t>
  </si>
  <si>
    <t>0443058</t>
  </si>
  <si>
    <t>0426212</t>
  </si>
  <si>
    <t>0445898</t>
  </si>
  <si>
    <t>Missing Transaction - Trace ID 0445898</t>
  </si>
  <si>
    <t>376274466998</t>
  </si>
  <si>
    <t>Missing Transaction - Trace ID 0454561</t>
  </si>
  <si>
    <t>0454561</t>
  </si>
  <si>
    <t>Missing Transaction - Trace ID 0450047</t>
  </si>
  <si>
    <t>Missing Transaction - Trace ID 0454989</t>
  </si>
  <si>
    <t>376272381991</t>
  </si>
  <si>
    <t>0450047</t>
  </si>
  <si>
    <t>0454989</t>
  </si>
  <si>
    <t>376271903993</t>
  </si>
  <si>
    <t>Missing Transaction - Trace ID 0453233</t>
  </si>
  <si>
    <t>Missing Transaction - Trace ID 0422853</t>
  </si>
  <si>
    <t>0453233</t>
  </si>
  <si>
    <t>0422853</t>
  </si>
  <si>
    <t>Missing Transaction - Trace ID 0441790</t>
  </si>
  <si>
    <t>Missing Transaction - Trace ID 0454975</t>
  </si>
  <si>
    <t>Missing Transaction - Trace ID 0430748</t>
  </si>
  <si>
    <t>376262849999</t>
  </si>
  <si>
    <t>0441790</t>
  </si>
  <si>
    <t>0454975</t>
  </si>
  <si>
    <t>0430748</t>
  </si>
  <si>
    <t>Missing Transaction - Trace ID 0440044</t>
  </si>
  <si>
    <t>0440044</t>
  </si>
  <si>
    <t>Missing Transaction - Trace ID 0433914</t>
  </si>
  <si>
    <t>Missing Transaction - Trace ID 0447790</t>
  </si>
  <si>
    <t>Missing Transaction - $64.09 Trace ID 0454996; $40.90 Trace ID 0455196</t>
  </si>
  <si>
    <t>0433914</t>
  </si>
  <si>
    <t>0447790</t>
  </si>
  <si>
    <t>0455196</t>
  </si>
  <si>
    <t>0454996</t>
  </si>
  <si>
    <t>Missing Transaction - $60.95 Trace ID 0447428; $61.06 Trace ID 0455294</t>
  </si>
  <si>
    <t>0447428</t>
  </si>
  <si>
    <t>0455294</t>
  </si>
  <si>
    <t>Missing Transaction - Trace ID 0438103</t>
  </si>
  <si>
    <t>0438103</t>
  </si>
  <si>
    <t>Missing Transaction - Trace ID 0446949</t>
  </si>
  <si>
    <t>Missing Transaction - $124 Trace ID 0431780; $58.50 Trace ID 0423399</t>
  </si>
  <si>
    <t>0446949</t>
  </si>
  <si>
    <t>0431780</t>
  </si>
  <si>
    <t>0423399</t>
  </si>
  <si>
    <t>Missing Transaction - Trace ID 0439581</t>
  </si>
  <si>
    <t>Missing Transaction - Trace ID 0442251</t>
  </si>
  <si>
    <t>0439581</t>
  </si>
  <si>
    <t>0442251</t>
  </si>
  <si>
    <t>Voided, Did not Receive funding.</t>
  </si>
  <si>
    <t>Missing Transaction - Trace ID 0437370</t>
  </si>
  <si>
    <t>0437370</t>
  </si>
  <si>
    <t>7/30 to 8/05</t>
  </si>
  <si>
    <t>Missing credit Transaction - Trace ID 0437370 washes with Prev week</t>
  </si>
  <si>
    <t>Missing Transaction - Trace ID 0454273</t>
  </si>
  <si>
    <t>376274497993</t>
  </si>
  <si>
    <t>Missing Transaction - Trace ID 0472779</t>
  </si>
  <si>
    <t>Missing Transaction - Trace ID 0472871</t>
  </si>
  <si>
    <t>Missing Transaction - Trace ID 0460868</t>
  </si>
  <si>
    <t>0454273</t>
  </si>
  <si>
    <t>0472779</t>
  </si>
  <si>
    <t>0472871</t>
  </si>
  <si>
    <t>0460868</t>
  </si>
  <si>
    <t>Missing Transaction - Trace ID 0484696</t>
  </si>
  <si>
    <t>Missing Transaction - Trace ID 0484047</t>
  </si>
  <si>
    <t>376213232998</t>
  </si>
  <si>
    <t>376263860995</t>
  </si>
  <si>
    <t>0484696</t>
  </si>
  <si>
    <t>0484047</t>
  </si>
  <si>
    <t>Missing Transaction - Trace ID 0484659</t>
  </si>
  <si>
    <t>376261790996</t>
  </si>
  <si>
    <t>0484659</t>
  </si>
  <si>
    <t>Missing Transactions - $114.27 Trace ID 0427269; $32.26 Trace ID 0420749</t>
  </si>
  <si>
    <t>0427269</t>
  </si>
  <si>
    <t>0420749</t>
  </si>
  <si>
    <t>Missing Transaction - Trace ID 0451301</t>
  </si>
  <si>
    <t>0451301</t>
  </si>
  <si>
    <t>376276086992</t>
  </si>
  <si>
    <t>376212020998</t>
  </si>
  <si>
    <t>376277210997</t>
  </si>
  <si>
    <t>376277102996</t>
  </si>
  <si>
    <t>Missing Credit Transaction - Trace ID 0321808 Washes with Prev Week</t>
  </si>
  <si>
    <t>8/6 to 8/12</t>
  </si>
  <si>
    <t>Missing Credit Transaction - Trace ID 0405861 Washes with Prev Week</t>
  </si>
  <si>
    <t>Missing Credit Transaction - Trace ID 0357925 Washes with Prev Week</t>
  </si>
  <si>
    <t>Missing Credit Transaction - Trace ID 0307784 Washes with Prev Week</t>
  </si>
  <si>
    <t>Missing Transaction - $54.71 Trace ID 0510379</t>
  </si>
  <si>
    <t>Missing Credit Transaction - $54.71 Trace ID 0510379</t>
  </si>
  <si>
    <t>Duplicate Missing Credit Transaction - $54.71 Trace ID 0510379</t>
  </si>
  <si>
    <t>0510379</t>
  </si>
  <si>
    <t>Missing Transaction - Trace ID 0503824</t>
  </si>
  <si>
    <t>0503824</t>
  </si>
  <si>
    <t>376274755994</t>
  </si>
  <si>
    <t>Missing Transaction - Trace ID 0510539</t>
  </si>
  <si>
    <t>376212568996</t>
  </si>
  <si>
    <t>0510539</t>
  </si>
  <si>
    <t>Missing Transaction - Trace ID 0510292</t>
  </si>
  <si>
    <t>376272196993</t>
  </si>
  <si>
    <t>376231740998</t>
  </si>
  <si>
    <t>Missing Transaction - Trace ID 0501245</t>
  </si>
  <si>
    <t>0510292</t>
  </si>
  <si>
    <t>0501245</t>
  </si>
  <si>
    <t>Missing transactions - $33.96 Trace ID 0000000; $65.41 Trace ID 00000</t>
  </si>
  <si>
    <t>0000000</t>
  </si>
  <si>
    <t>Missing Transaction - Trace ID 0501740</t>
  </si>
  <si>
    <t>Missing Transaction - Trace ID 0510786</t>
  </si>
  <si>
    <t>0501740</t>
  </si>
  <si>
    <t>0510786</t>
  </si>
  <si>
    <t>Missing Transaction - Trace ID 0499344</t>
  </si>
  <si>
    <t>0499344</t>
  </si>
  <si>
    <t>376211768993</t>
  </si>
  <si>
    <t>07/01/16 - 07/31/16</t>
  </si>
  <si>
    <t>Fin. Adj.</t>
  </si>
  <si>
    <t>Paid to VFC - netted 2016 Sales / Credits / Fin. Adj.  with 8/23/17 VFC Deposit</t>
  </si>
  <si>
    <t>02/01/16 - 02/28/16</t>
  </si>
  <si>
    <t>Deposit Rebate</t>
  </si>
  <si>
    <t>08/13/17 - 08/19/17</t>
  </si>
  <si>
    <t>376271748992</t>
  </si>
  <si>
    <t>376235440991</t>
  </si>
  <si>
    <t>376233674997</t>
  </si>
  <si>
    <t>376257032999</t>
  </si>
  <si>
    <t>376273114995</t>
  </si>
  <si>
    <t>Missing Credit Transaction (wash with sale from previous week)</t>
  </si>
  <si>
    <t>Missing Amex Transaction Order ID 3536043</t>
  </si>
  <si>
    <t>08/20/17 - 08/26/17</t>
  </si>
  <si>
    <t>Missing Credit Transaction - Trace ID 0542778 Washes with Prev Week</t>
  </si>
  <si>
    <t>0542778</t>
  </si>
  <si>
    <t xml:space="preserve"> Missing Credit Transaction - Trace ID 0510292 washes with prev week</t>
  </si>
  <si>
    <t>03510292</t>
  </si>
  <si>
    <t>376274797996</t>
  </si>
  <si>
    <t>Missing Transaction - Trace ID 0566965</t>
  </si>
  <si>
    <t>Missing Transaction - Trace ID 0573033</t>
  </si>
  <si>
    <t>0566965</t>
  </si>
  <si>
    <t>0573033</t>
  </si>
  <si>
    <t>Missing Transaction - Trace ID 0559726</t>
  </si>
  <si>
    <t>Missing Transaction - Trace ID 0566956</t>
  </si>
  <si>
    <t>376269613992</t>
  </si>
  <si>
    <t>0559726</t>
  </si>
  <si>
    <t>0566956</t>
  </si>
  <si>
    <t>Missing Transaction - Trace ID 0559326</t>
  </si>
  <si>
    <t>0559326</t>
  </si>
  <si>
    <t>Missing Transaction - Trace ID 0559854</t>
  </si>
  <si>
    <t>Missing Transaction - Trace ID 0559860</t>
  </si>
  <si>
    <t>Missing Transaction - Trace ID 0567013</t>
  </si>
  <si>
    <t>376212719995</t>
  </si>
  <si>
    <t>376271835997</t>
  </si>
  <si>
    <t>0559854</t>
  </si>
  <si>
    <t>0567013</t>
  </si>
  <si>
    <t>Missing Transaction - Trace ID 0566970</t>
  </si>
  <si>
    <t>0566970</t>
  </si>
  <si>
    <t>Missing Transaction - Trace ID 0566924</t>
  </si>
  <si>
    <t>Missing Transaction - Trace ID 0562717</t>
  </si>
  <si>
    <t>376272734991</t>
  </si>
  <si>
    <t>0566924</t>
  </si>
  <si>
    <t>0562717</t>
  </si>
  <si>
    <t>Missing Transaction - Trace ID 0567396</t>
  </si>
  <si>
    <t>Missing Transaction - Trace ID 0572580</t>
  </si>
  <si>
    <t>Missing Transaction - Trace ID 0566978</t>
  </si>
  <si>
    <t>Missing Transaction - Trace ID 0568846</t>
  </si>
  <si>
    <t>Missing Transaction - Trace ID 0570105</t>
  </si>
  <si>
    <t>Missing Transaction - Trace ID 0570226</t>
  </si>
  <si>
    <t>376273459994</t>
  </si>
  <si>
    <t>376266541998</t>
  </si>
  <si>
    <t>0572580</t>
  </si>
  <si>
    <t>0567396</t>
  </si>
  <si>
    <t>0566978</t>
  </si>
  <si>
    <t>0568846</t>
  </si>
  <si>
    <t>0570105</t>
  </si>
  <si>
    <t>0570226</t>
  </si>
  <si>
    <t>Missing Transaction - Trace ID 0566960</t>
  </si>
  <si>
    <t>Missing Transaction - Trace ID 0570461</t>
  </si>
  <si>
    <t>0566960</t>
  </si>
  <si>
    <t>0570461</t>
  </si>
  <si>
    <t>Missing Transaction - Trace ID 0570427</t>
  </si>
  <si>
    <t>Missing Transaction - Trace ID 0567043</t>
  </si>
  <si>
    <t>Missing Transaction - Trace ID 0572436</t>
  </si>
  <si>
    <t>Missing Transaction - Trace ID 0475363</t>
  </si>
  <si>
    <t>376273071997</t>
  </si>
  <si>
    <t>0570427</t>
  </si>
  <si>
    <t>0567043</t>
  </si>
  <si>
    <t>0572436</t>
  </si>
  <si>
    <t>0475363</t>
  </si>
  <si>
    <t>Missing Transaction - Trace ID 0537020</t>
  </si>
  <si>
    <t>0537020</t>
  </si>
  <si>
    <t>Missing Transaction - Trace ID 0567766</t>
  </si>
  <si>
    <t>0567766</t>
  </si>
  <si>
    <t>Missing Transaction - Trace ID 0566981</t>
  </si>
  <si>
    <t>Missing Transaction - Trace ID 0573458</t>
  </si>
  <si>
    <t>Missing Transaction - Trace ID 0567630</t>
  </si>
  <si>
    <t>Missing Transaction - Trace ID 0570316</t>
  </si>
  <si>
    <t>Missing Transaction - Trace ID 0545467</t>
  </si>
  <si>
    <t>Missing Transaction - Trace ID 0570544</t>
  </si>
  <si>
    <t>376271256996</t>
  </si>
  <si>
    <t>376272138995</t>
  </si>
  <si>
    <t>0566981</t>
  </si>
  <si>
    <t>0573458</t>
  </si>
  <si>
    <t>376272916994</t>
  </si>
  <si>
    <t>376224339998</t>
  </si>
  <si>
    <t>376270916996</t>
  </si>
  <si>
    <t>376272349998</t>
  </si>
  <si>
    <t>376213363991</t>
  </si>
  <si>
    <t>376274521990</t>
  </si>
  <si>
    <t>376224403992</t>
  </si>
  <si>
    <t>376276095993</t>
  </si>
  <si>
    <t>376272926993</t>
  </si>
  <si>
    <t>Missing Transaction - Trace ID 0570249</t>
  </si>
  <si>
    <t>Missing Transaction - Trace ID 0569700</t>
  </si>
  <si>
    <t>Missing Transaction - Trace ID 0573314</t>
  </si>
  <si>
    <t>Missing Transaction - Trace ID 0567099</t>
  </si>
  <si>
    <t>Missing Transaction - Trace ID 0565446</t>
  </si>
  <si>
    <t>Missing Transaction - Trace ID 0567066</t>
  </si>
  <si>
    <t>Missing Transaction - Trace ID 0568026</t>
  </si>
  <si>
    <t>Missing Transaction - Trace ID 0567098</t>
  </si>
  <si>
    <t>Missing Transaction - Trace ID 0566240</t>
  </si>
  <si>
    <t>Missing Transaction - Trace ID 0567674</t>
  </si>
  <si>
    <t>Missing Transaction - Trace ID 0567095</t>
  </si>
  <si>
    <t>Missing Transaction - Trace ID 0572906</t>
  </si>
  <si>
    <t>Missing Transaction - Trace ID 0567406</t>
  </si>
  <si>
    <t>Missing Transaction - Trace ID 0567057</t>
  </si>
  <si>
    <t>Missing Transaction - Trace ID 0566666</t>
  </si>
  <si>
    <t>0567630</t>
  </si>
  <si>
    <t>0570316</t>
  </si>
  <si>
    <t>0545467</t>
  </si>
  <si>
    <t>0570544</t>
  </si>
  <si>
    <t>0570249</t>
  </si>
  <si>
    <t>0569700</t>
  </si>
  <si>
    <t>0573314</t>
  </si>
  <si>
    <t>0567099</t>
  </si>
  <si>
    <t>0565446</t>
  </si>
  <si>
    <t>0567066</t>
  </si>
  <si>
    <t>0568026</t>
  </si>
  <si>
    <t>0567098</t>
  </si>
  <si>
    <t>0566240</t>
  </si>
  <si>
    <t>0567674</t>
  </si>
  <si>
    <t>0567095</t>
  </si>
  <si>
    <t>0572906</t>
  </si>
  <si>
    <t>0567406</t>
  </si>
  <si>
    <t>0567057</t>
  </si>
  <si>
    <t>0566666</t>
  </si>
  <si>
    <t>Missing Transaction - Trace ID 0566919</t>
  </si>
  <si>
    <t>Missing Transaction - Trace ID 0570117</t>
  </si>
  <si>
    <t>Missing Transaction - Trace ID 0567841</t>
  </si>
  <si>
    <t>376272989991</t>
  </si>
  <si>
    <t>0566919</t>
  </si>
  <si>
    <t>0570117</t>
  </si>
  <si>
    <t>0567841</t>
  </si>
  <si>
    <t>Missing Transaction - Trace ID 0559889</t>
  </si>
  <si>
    <t>Missing Transaction - Trace ID 0567036</t>
  </si>
  <si>
    <t>Missing Transaction - Trace ID 0570409</t>
  </si>
  <si>
    <t>Missing Transaction - Trace ID 0567089</t>
  </si>
  <si>
    <t>Missing Transaction - Trace ID 0567884</t>
  </si>
  <si>
    <t>376262814993</t>
  </si>
  <si>
    <t>0559889</t>
  </si>
  <si>
    <t>0570409</t>
  </si>
  <si>
    <t>0567089</t>
  </si>
  <si>
    <t>0567884</t>
  </si>
  <si>
    <t>0567036</t>
  </si>
  <si>
    <t>Missing Transaction - Trace ID 0573230</t>
  </si>
  <si>
    <t>Missing Transaction - Trace ID 0566967</t>
  </si>
  <si>
    <t>376215534995</t>
  </si>
  <si>
    <t>0573230</t>
  </si>
  <si>
    <t>0566967</t>
  </si>
  <si>
    <t>Missing Transaction - Trace ID 0560302</t>
  </si>
  <si>
    <t>376272080999</t>
  </si>
  <si>
    <t>0560302</t>
  </si>
  <si>
    <t>376274078991</t>
  </si>
  <si>
    <t>376255412995</t>
  </si>
  <si>
    <t>Missing Transaction - Trace ID 0570179</t>
  </si>
  <si>
    <t>Missing Transaction - Trace ID 0571882</t>
  </si>
  <si>
    <t>Missing Transaction - Trace ID 0570458</t>
  </si>
  <si>
    <t>Missing Transaction - Trace ID 0561428</t>
  </si>
  <si>
    <t>0570179</t>
  </si>
  <si>
    <t>0570458</t>
  </si>
  <si>
    <t>0561428</t>
  </si>
  <si>
    <t>0571882</t>
  </si>
  <si>
    <t>Missing Transaction - $391.96 Trace ID 0570332 and $131.54 Trace ID 0566584</t>
  </si>
  <si>
    <t>0570332</t>
  </si>
  <si>
    <t>0566584</t>
  </si>
  <si>
    <t>376276584996</t>
  </si>
  <si>
    <t>376276528993</t>
  </si>
  <si>
    <t>376276915992</t>
  </si>
  <si>
    <t>unvoided funding received</t>
  </si>
  <si>
    <t>0567368</t>
  </si>
  <si>
    <t>08/27/17 - 09/03/2017</t>
  </si>
  <si>
    <t>Missing Credit Transaction - Trace ID 0573230 Washes with Prev Week</t>
  </si>
  <si>
    <t>Missing Credit Transaction - Trace ID 0570117 Washes with Prev Week</t>
  </si>
  <si>
    <t>Missing Credit Transaction - Trace ID 0567841 Washes with Prev Week</t>
  </si>
  <si>
    <t>Missing Credit Transaction - Trace ID 0565446 Washes with Prev Week</t>
  </si>
  <si>
    <t>Missing Credit Transaction - Trace ID 0567630 Washes with Prev Week</t>
  </si>
  <si>
    <t>Missing Transaction - Trace ID 0584471</t>
  </si>
  <si>
    <t>376274626997</t>
  </si>
  <si>
    <t>Missing Transaction - Trace ID 0592840</t>
  </si>
  <si>
    <t>0584471</t>
  </si>
  <si>
    <t>0592840</t>
  </si>
  <si>
    <t>Missing Transaction - Trace ID 0587027</t>
  </si>
  <si>
    <t>0587027</t>
  </si>
  <si>
    <t>Missing Transaction - Trace ID 0577807</t>
  </si>
  <si>
    <t>Missing Transaction - Trace ID 0602876</t>
  </si>
  <si>
    <t>376258263999</t>
  </si>
  <si>
    <t>376272798996</t>
  </si>
  <si>
    <t>376273646996</t>
  </si>
  <si>
    <t>0577807</t>
  </si>
  <si>
    <t>0602876</t>
  </si>
  <si>
    <t>0603311</t>
  </si>
  <si>
    <t>Missing Transaction - Trace ID 0603311</t>
  </si>
  <si>
    <t>Missing Transaction - Trace ID 0602954</t>
  </si>
  <si>
    <t>Missing Transaction - Trace ID 0579480</t>
  </si>
  <si>
    <t>376212108991</t>
  </si>
  <si>
    <t>0602954</t>
  </si>
  <si>
    <t>0579480</t>
  </si>
  <si>
    <t>Missing Transaction - Trace ID 0581475</t>
  </si>
  <si>
    <t>Missing Transaction - Trace ID 0595210</t>
  </si>
  <si>
    <t>Missing Transaction - Trace ID 0601488</t>
  </si>
  <si>
    <t>376270922994</t>
  </si>
  <si>
    <t>0581475</t>
  </si>
  <si>
    <t>0595210</t>
  </si>
  <si>
    <t>0601488</t>
  </si>
  <si>
    <t>376274353998</t>
  </si>
  <si>
    <t>Missing Transaction - Trace ID 0582771</t>
  </si>
  <si>
    <t>0582771</t>
  </si>
  <si>
    <t>Missing Transaction - Trace ID 0577216</t>
  </si>
  <si>
    <t>376276006990</t>
  </si>
  <si>
    <t>0577216</t>
  </si>
  <si>
    <t>Missing Transaction - Trace ID 0583390</t>
  </si>
  <si>
    <t>Missing Transaction - Trace ID 0539201</t>
  </si>
  <si>
    <t>Missing Transaction - Trace ID 0599654</t>
  </si>
  <si>
    <t>Missing Transaction - Trace ID 0582864</t>
  </si>
  <si>
    <t>Missing Transaction - Trace ID 0583137</t>
  </si>
  <si>
    <t>Missing Transaction - Trace ID 0591163</t>
  </si>
  <si>
    <t>Missing Transaction - Trace ID 0591727</t>
  </si>
  <si>
    <t>Missing Transaction - Trace ID 0589482</t>
  </si>
  <si>
    <t>376269806992</t>
  </si>
  <si>
    <t>0583390</t>
  </si>
  <si>
    <t>0599654</t>
  </si>
  <si>
    <t>0582864</t>
  </si>
  <si>
    <t>0583137</t>
  </si>
  <si>
    <t>0591163</t>
  </si>
  <si>
    <t>0591727</t>
  </si>
  <si>
    <t>0589482</t>
  </si>
  <si>
    <t>Missing Transaction - Trace ID 0592982</t>
  </si>
  <si>
    <t>Missing Transaction - Trace ID 0600462</t>
  </si>
  <si>
    <t>0592982</t>
  </si>
  <si>
    <t>0600462</t>
  </si>
  <si>
    <t>Missing Transaction - Trace ID 0594890</t>
  </si>
  <si>
    <t>Missing Transaction - Trace ID 0603720</t>
  </si>
  <si>
    <t>Missing Transaction - Trace ID 0597894</t>
  </si>
  <si>
    <t>Missing Transaction - Trace ID 0589528</t>
  </si>
  <si>
    <t>376273846992</t>
  </si>
  <si>
    <t>376274553993</t>
  </si>
  <si>
    <t>0594890</t>
  </si>
  <si>
    <t>0603720</t>
  </si>
  <si>
    <t>0597894</t>
  </si>
  <si>
    <t>0589528</t>
  </si>
  <si>
    <t>376274426992</t>
  </si>
  <si>
    <t>Missing Transaction - Trace ID 0598138</t>
  </si>
  <si>
    <t>Missing Transaction - Trace ID 0589485</t>
  </si>
  <si>
    <t>0598138</t>
  </si>
  <si>
    <t>0589485</t>
  </si>
  <si>
    <t>Missing Transaction - Trace ID 0596909</t>
  </si>
  <si>
    <t>Missing Transaction - Trace ID 0584093</t>
  </si>
  <si>
    <t>Missing Transaction - Trace ID 0598310</t>
  </si>
  <si>
    <t>Missing Transaction $62.31 Trace ID 0590836; $40.82 Trace ID 0596569</t>
  </si>
  <si>
    <t>Missing Transaction - Trace ID 0583716</t>
  </si>
  <si>
    <t>Missing Transaction - Trace ID 0590702</t>
  </si>
  <si>
    <t>Missing Transaction - Trace ID 0590838</t>
  </si>
  <si>
    <t>376276461997</t>
  </si>
  <si>
    <t>0596909</t>
  </si>
  <si>
    <t>0598310</t>
  </si>
  <si>
    <t>0596569</t>
  </si>
  <si>
    <t>0583716</t>
  </si>
  <si>
    <t>0590702</t>
  </si>
  <si>
    <t>0590838</t>
  </si>
  <si>
    <t>0584093</t>
  </si>
  <si>
    <t>0590836</t>
  </si>
  <si>
    <t>Missing Transaction - Trace ID 0603246</t>
  </si>
  <si>
    <t>376260323997</t>
  </si>
  <si>
    <t>Missing Transaction - Trace ID 0592624</t>
  </si>
  <si>
    <t>Missing Transaction - Trace ID 0587880</t>
  </si>
  <si>
    <t>376255907994</t>
  </si>
  <si>
    <t>376272817994</t>
  </si>
  <si>
    <t>Missing Transaction - Trace ID 0582446</t>
  </si>
  <si>
    <t>Missing Transaction - Trace ID 0589852</t>
  </si>
  <si>
    <t>Missing Transaction - Trace ID 0594971</t>
  </si>
  <si>
    <t>Missing Transaction - Trace ID 0585475</t>
  </si>
  <si>
    <t>376267544991</t>
  </si>
  <si>
    <t>376270069994</t>
  </si>
  <si>
    <t>0603246</t>
  </si>
  <si>
    <t>0587880</t>
  </si>
  <si>
    <t>0582446</t>
  </si>
  <si>
    <t>0589852</t>
  </si>
  <si>
    <t>0594971</t>
  </si>
  <si>
    <t>0585475</t>
  </si>
  <si>
    <t>0592624</t>
  </si>
  <si>
    <t>376276610999</t>
  </si>
  <si>
    <t>376259098998</t>
  </si>
  <si>
    <t>Voided due to Tax Levy Hold orders.</t>
  </si>
  <si>
    <t>Voided Clinic Portion only due to Tax Levy Hold orders.</t>
  </si>
  <si>
    <t>0567091</t>
  </si>
  <si>
    <t>Missing Transaction - Trace ID 0626204</t>
  </si>
  <si>
    <t>9/4/17 - 9/9/17</t>
  </si>
  <si>
    <t>376276096991</t>
  </si>
  <si>
    <t>Missing Transaction - Trace ID 0602748</t>
  </si>
  <si>
    <t>0626204</t>
  </si>
  <si>
    <t>0602748</t>
  </si>
  <si>
    <t>Missing Transaction - Trace ID 0626622</t>
  </si>
  <si>
    <t>0626622</t>
  </si>
  <si>
    <t>Missing Transaction - Trace ID 0633569</t>
  </si>
  <si>
    <t>0633569</t>
  </si>
  <si>
    <t>376272857990</t>
  </si>
  <si>
    <t>Missing Transaction - Trace ID 0621375</t>
  </si>
  <si>
    <t>Missing Transaction - Trace ID 0637181</t>
  </si>
  <si>
    <t>Missing Transaction - Trace ID 0634795</t>
  </si>
  <si>
    <t>0621375</t>
  </si>
  <si>
    <t>0637181</t>
  </si>
  <si>
    <t>0634795</t>
  </si>
  <si>
    <t>Missing Transaction - Trace ID 0622418</t>
  </si>
  <si>
    <t>Missing Transaction - Trace ID 0609556</t>
  </si>
  <si>
    <t>0622418</t>
  </si>
  <si>
    <t>0609556</t>
  </si>
  <si>
    <t>Missing Transaction - Trace ID 0608984</t>
  </si>
  <si>
    <t>376272289996</t>
  </si>
  <si>
    <t>0608984</t>
  </si>
  <si>
    <t>Missing Transaction - Trace ID 0620329</t>
  </si>
  <si>
    <t>0620329</t>
  </si>
  <si>
    <t>376273472997</t>
  </si>
  <si>
    <t>0608843</t>
  </si>
  <si>
    <t>0600639</t>
  </si>
  <si>
    <t>Missing Transaction - Trace ID 0612346</t>
  </si>
  <si>
    <t>0612346</t>
  </si>
  <si>
    <t>Missing Transaction - Trace ID 0621056</t>
  </si>
  <si>
    <t>0621056</t>
  </si>
  <si>
    <t>376272082995</t>
  </si>
  <si>
    <t>Missing Transaction - Trace ID 0600639 and 0608843 $59.21 Each *** Account is Terminated in PBS</t>
  </si>
  <si>
    <t>9/10/17 - 9/16/17</t>
  </si>
  <si>
    <t>Missing Credit Transaction - Trace ID 0612346 Washes with Prev Week</t>
  </si>
  <si>
    <t>Missing Credit Transaction - Trace ID 0602748 Washes with Prev Week</t>
  </si>
  <si>
    <t>Missing Transaction - Trace ID 0637916</t>
  </si>
  <si>
    <t>Missing Transaction - Trace ID 0633097</t>
  </si>
  <si>
    <t>Missing Transaction - Trace ID 0633497</t>
  </si>
  <si>
    <t>Missing Transaction - Trace ID 0664889</t>
  </si>
  <si>
    <t>Missing Transaction - Trace ID 0633145</t>
  </si>
  <si>
    <t>Missing Transaction - Trace ID 0633753</t>
  </si>
  <si>
    <t>Missing Transaction - Trace ID 0633357</t>
  </si>
  <si>
    <t>376273069991</t>
  </si>
  <si>
    <t>376270873999</t>
  </si>
  <si>
    <t>Missing Transaction - Trace ID 0633728</t>
  </si>
  <si>
    <t>Missing Transaction - Trace ID 0633703</t>
  </si>
  <si>
    <t>Missing Transaction - Trace ID 0633558</t>
  </si>
  <si>
    <t>Missing Transaction - Trace ID 0633373</t>
  </si>
  <si>
    <t>Missing Transaction - Trace ID 0633168</t>
  </si>
  <si>
    <t>376274487994</t>
  </si>
  <si>
    <t>376273513998</t>
  </si>
  <si>
    <t>Missing Transaction - Trace ID 0659868</t>
  </si>
  <si>
    <t>Missing Transaction - Trace ID 0633233</t>
  </si>
  <si>
    <t>Missing Transaction - Trace ID 0633637</t>
  </si>
  <si>
    <t>Missing Transaction - Trace ID 0633371</t>
  </si>
  <si>
    <t>376262997996</t>
  </si>
  <si>
    <t>376270400991</t>
  </si>
  <si>
    <t>Missing Transaction - Trace ID 0633759</t>
  </si>
  <si>
    <t>Missing Transaction - Trace ID 0633384</t>
  </si>
  <si>
    <t>Missing Transaction - Trace ID 0633564</t>
  </si>
  <si>
    <t>Missing Transaction - Trace ID 0633681</t>
  </si>
  <si>
    <t>376267927998</t>
  </si>
  <si>
    <t>Missing Transaction - Trace ID 0633326</t>
  </si>
  <si>
    <t>Missing Transaction - Trace ID 0633573</t>
  </si>
  <si>
    <t>Missing Transaction - Trace ID 0633268</t>
  </si>
  <si>
    <t>Missing Transaction - Trace ID 0651544</t>
  </si>
  <si>
    <t>Missing Transaction - Trace ID 0633454</t>
  </si>
  <si>
    <t>Missing Transaction - Trace ID 0634320</t>
  </si>
  <si>
    <t>Missing Transaction - Trace ID 0633305</t>
  </si>
  <si>
    <t>Missing Transaction - Trace ID 0653972</t>
  </si>
  <si>
    <t>376253517993</t>
  </si>
  <si>
    <t>376271567996</t>
  </si>
  <si>
    <t>376273122998</t>
  </si>
  <si>
    <t>Missing Transaction - Trace ID 0633224</t>
  </si>
  <si>
    <t>Missing Transaction - Trace ID 0633639</t>
  </si>
  <si>
    <t>Missing Transaction - Trace ID 633696</t>
  </si>
  <si>
    <t>Missing Transaction - Trace ID 655770</t>
  </si>
  <si>
    <t>Missing Transaction - Trace ID 633273</t>
  </si>
  <si>
    <t>Missing Transaction - Trace ID 633662</t>
  </si>
  <si>
    <t>376255340998</t>
  </si>
  <si>
    <t>Missing Transaction - Trace ID 633294</t>
  </si>
  <si>
    <t>Missing Transaction - $63.95 Trace ID 0633579 and $42.95 Trace ID 0633584</t>
  </si>
  <si>
    <t>376271918991</t>
  </si>
  <si>
    <t>376263678991</t>
  </si>
  <si>
    <t>Missing Transaction - $80.95 Trace ID 0633061 and $35.95 Trace ID 0633560</t>
  </si>
  <si>
    <t>376224478994</t>
  </si>
  <si>
    <t>Missing Transaction - $49.77 Trace ID 0633598 and $84.75 Trace ID 0633164</t>
  </si>
  <si>
    <t>Missing Transaction - Trace ID 655395</t>
  </si>
  <si>
    <t>Missing Transaction - $107.85 Trace ID 0633516 and $40.95 Trace ID 0633390</t>
  </si>
  <si>
    <t>376271328993</t>
  </si>
  <si>
    <t xml:space="preserve">Missing Transaction - $40.95 Trace ID 0633649; $40.95 Trace ID 0633632; $70.95 Trace ID 0633698; $58.90 Trace ID 0659035 </t>
  </si>
  <si>
    <t>0637916</t>
  </si>
  <si>
    <t>0633497</t>
  </si>
  <si>
    <t>0664889</t>
  </si>
  <si>
    <t>0633145</t>
  </si>
  <si>
    <t>0633753</t>
  </si>
  <si>
    <t>0633357</t>
  </si>
  <si>
    <t>0633728</t>
  </si>
  <si>
    <t>0633703</t>
  </si>
  <si>
    <t>0633558</t>
  </si>
  <si>
    <t>0633373</t>
  </si>
  <si>
    <t>0633168</t>
  </si>
  <si>
    <t>0659868</t>
  </si>
  <si>
    <t>0633233</t>
  </si>
  <si>
    <t>0633637</t>
  </si>
  <si>
    <t>0633371</t>
  </si>
  <si>
    <t>0633759</t>
  </si>
  <si>
    <t>0633384</t>
  </si>
  <si>
    <t>0633564</t>
  </si>
  <si>
    <t>0633681</t>
  </si>
  <si>
    <t>0633326</t>
  </si>
  <si>
    <t>0633573</t>
  </si>
  <si>
    <t>0633268</t>
  </si>
  <si>
    <t>0651544</t>
  </si>
  <si>
    <t>0633454</t>
  </si>
  <si>
    <t>0634320</t>
  </si>
  <si>
    <t>0633305</t>
  </si>
  <si>
    <t>0653972</t>
  </si>
  <si>
    <t>0633224</t>
  </si>
  <si>
    <t>0633639</t>
  </si>
  <si>
    <t>0633097</t>
  </si>
  <si>
    <t>0633762</t>
  </si>
  <si>
    <t>0633584</t>
  </si>
  <si>
    <t>0633560</t>
  </si>
  <si>
    <t>0633164</t>
  </si>
  <si>
    <t>0633390</t>
  </si>
  <si>
    <t>0659035</t>
  </si>
  <si>
    <t>Missing Transaction - $46.10 Trace ID 0633751 and $49.39 Trace ID 0633762</t>
  </si>
  <si>
    <t>0633751</t>
  </si>
  <si>
    <t>0633294</t>
  </si>
  <si>
    <t>0633061</t>
  </si>
  <si>
    <t>0633598</t>
  </si>
  <si>
    <t>0655395</t>
  </si>
  <si>
    <t>0633516</t>
  </si>
  <si>
    <t>0633649</t>
  </si>
  <si>
    <t>0633632</t>
  </si>
  <si>
    <t>0633698</t>
  </si>
  <si>
    <t>3633696</t>
  </si>
  <si>
    <t>0633696</t>
  </si>
  <si>
    <t>0655770</t>
  </si>
  <si>
    <t>0633273</t>
  </si>
  <si>
    <t>0633662</t>
  </si>
  <si>
    <t>3655770</t>
  </si>
  <si>
    <t>3633273</t>
  </si>
  <si>
    <t>3633662</t>
  </si>
  <si>
    <t>0633579</t>
  </si>
  <si>
    <t>3633390</t>
  </si>
  <si>
    <t>3633649</t>
  </si>
  <si>
    <t>3633632</t>
  </si>
  <si>
    <t>3633698</t>
  </si>
  <si>
    <t>3659035</t>
  </si>
  <si>
    <t>Missing Amex Transaction</t>
  </si>
  <si>
    <t>Voided 350197 due to Tax Levy Hold</t>
  </si>
  <si>
    <t>0633415</t>
  </si>
  <si>
    <t>Cannot See in CL Missing Transactions</t>
  </si>
  <si>
    <t>This is not a missing Transaction, but is funding received for voided transactions on the prev week</t>
  </si>
  <si>
    <t>Unvoided, this funding was received in Apr and shown as a missing transaction. Has now been adjusted.</t>
  </si>
  <si>
    <t>Missing Credit Transaction - Trace ID 0655770 Washes with Prev Week</t>
  </si>
  <si>
    <t>9/17/17 - 9/23/17</t>
  </si>
  <si>
    <t>Missing Transaction - Trace ID 0666773</t>
  </si>
  <si>
    <t>Missing Transaction - Trace ID 0683204</t>
  </si>
  <si>
    <t>0666773</t>
  </si>
  <si>
    <t>0683204</t>
  </si>
  <si>
    <t>376210499996</t>
  </si>
  <si>
    <t>Missing Transaction - Trace ID 0681420</t>
  </si>
  <si>
    <t>Missing Transaction - Trace ID 0693833</t>
  </si>
  <si>
    <t>0681420</t>
  </si>
  <si>
    <t>0693833</t>
  </si>
  <si>
    <t>Missing Transaction - Trace ID 0664916</t>
  </si>
  <si>
    <t>Missing Transaction - Trace ID 0669537</t>
  </si>
  <si>
    <t>0664916</t>
  </si>
  <si>
    <t>0669537</t>
  </si>
  <si>
    <t>Missing Transaction - Trace ID 0666792</t>
  </si>
  <si>
    <t>0666792</t>
  </si>
  <si>
    <t>376212986990</t>
  </si>
  <si>
    <t>Missing Transaction - Trace ID 0672652</t>
  </si>
  <si>
    <t>0672652</t>
  </si>
  <si>
    <t>Missing Transaction - Trace ID 0672181</t>
  </si>
  <si>
    <t>376272383997</t>
  </si>
  <si>
    <t>0672181</t>
  </si>
  <si>
    <t>Missing Transaction - $38.43 Trace ID 0676691, $58.89 Trace ID 0672463</t>
  </si>
  <si>
    <t>0676691</t>
  </si>
  <si>
    <t>0672463</t>
  </si>
  <si>
    <t>Missing Transaction - Trace ID 0666130</t>
  </si>
  <si>
    <t>Missing Transaction - Trace ID 0671612</t>
  </si>
  <si>
    <t>Missing Transaction - Trace ID 0664293</t>
  </si>
  <si>
    <t>0666130</t>
  </si>
  <si>
    <t>0671612</t>
  </si>
  <si>
    <t>0664293</t>
  </si>
  <si>
    <t>Missing Transaction - Trace ID 0661020</t>
  </si>
  <si>
    <t>0661020</t>
  </si>
  <si>
    <t>9/24/17 to 9/30/17</t>
  </si>
  <si>
    <t>Missing Credit Transaction - Trace ID 0683204 Wash with prev week</t>
  </si>
  <si>
    <t>Missing Transaction - Trace ID 0725016</t>
  </si>
  <si>
    <t>0725016</t>
  </si>
  <si>
    <t>Missing Transaction - Trace ID 0712686</t>
  </si>
  <si>
    <t>0712686</t>
  </si>
  <si>
    <t>Missing Transaction - Trace ID 0692944</t>
  </si>
  <si>
    <t>0692944</t>
  </si>
  <si>
    <t>Missing Transactions - $194.90 Trace ID 0696048; $118.90 Trace ID 0699595</t>
  </si>
  <si>
    <t>0696048</t>
  </si>
  <si>
    <t>0699595</t>
  </si>
  <si>
    <t>376268726993</t>
  </si>
  <si>
    <t>376277172999</t>
  </si>
  <si>
    <t>Void Aff. ID 350197 due to Tax Levy Hold</t>
  </si>
  <si>
    <t>Sept</t>
  </si>
  <si>
    <t>sept</t>
  </si>
  <si>
    <t>Oct</t>
  </si>
  <si>
    <t>Missing Transaction - Trace ID 0747934</t>
  </si>
  <si>
    <t>0747934</t>
  </si>
  <si>
    <t>376274801996</t>
  </si>
  <si>
    <t>Missing Transaction - Trace ID 0753346</t>
  </si>
  <si>
    <t>0753346</t>
  </si>
  <si>
    <t>Missing Transaction - Trace ID 0752755</t>
  </si>
  <si>
    <t>0752755</t>
  </si>
  <si>
    <t>376275224990</t>
  </si>
  <si>
    <t>10/01/17 to 10/08/17</t>
  </si>
  <si>
    <t>Washes with credit Trans below</t>
  </si>
  <si>
    <t>Washes with Missing Trans above</t>
  </si>
  <si>
    <t>Cannot See in CL - Missing Credit Transaction Washes with Prev Week</t>
  </si>
  <si>
    <t>10/09/17 to 10/14/17</t>
  </si>
  <si>
    <t>Missing Transaction - Trace ID 0769563</t>
  </si>
  <si>
    <t>0769563</t>
  </si>
  <si>
    <t>376276999996</t>
  </si>
  <si>
    <t>Missing Transaction - Trace ID 0790417</t>
  </si>
  <si>
    <t>0790417</t>
  </si>
  <si>
    <t>Missing Transaction - Trace ID 0788043</t>
  </si>
  <si>
    <t>0788043</t>
  </si>
  <si>
    <t>0784298</t>
  </si>
  <si>
    <t>Void Aff. ID 350197 due to Tax Levy Hold - We did not receive Funding for this order</t>
  </si>
  <si>
    <t>Missing Transaction - Trace ID 0784298 This mid does not show up in PBS Database. Relates to a different mid</t>
  </si>
  <si>
    <t>Missing Transaction - Trace ID 0807117</t>
  </si>
  <si>
    <t>Missing Transaction - Trace ID 0807756</t>
  </si>
  <si>
    <t>376271272993</t>
  </si>
  <si>
    <t>376276644998</t>
  </si>
  <si>
    <t>10/15/17 to 10/21/17</t>
  </si>
  <si>
    <t>Missing Transaction - Trace ID 0807082</t>
  </si>
  <si>
    <t>376262811999</t>
  </si>
  <si>
    <t>Missing Transaction - Trace ID 0801392</t>
  </si>
  <si>
    <t>Missing Transaction - Trace ID 0807106</t>
  </si>
  <si>
    <t>0807117</t>
  </si>
  <si>
    <t>0807082</t>
  </si>
  <si>
    <t>0801392</t>
  </si>
  <si>
    <t>0807106</t>
  </si>
  <si>
    <t>0807756</t>
  </si>
  <si>
    <t>Missing Transactions - Trace ID 0807232</t>
  </si>
  <si>
    <t>Missing Transactions - Trace ID 0806931</t>
  </si>
  <si>
    <t>Missing Transactions - Trace ID 46229257</t>
  </si>
  <si>
    <t>Missing Transactions - Trace ID 0807900</t>
  </si>
  <si>
    <t>Missing Transactions - Trace ID 0806059</t>
  </si>
  <si>
    <t>Missing Transactions - Trace ID 0807119</t>
  </si>
  <si>
    <t>Missing Transactions - Trace ID 0804841</t>
  </si>
  <si>
    <t>Missing Transactions - Trace ID 0810414</t>
  </si>
  <si>
    <t>Missing Transactions - Trace ID 0798420</t>
  </si>
  <si>
    <t>Missing Transactions - Trace ID 0807144</t>
  </si>
  <si>
    <t>376220462992</t>
  </si>
  <si>
    <t>376228187997</t>
  </si>
  <si>
    <t>376274440993</t>
  </si>
  <si>
    <t>376264994991</t>
  </si>
  <si>
    <t>0807232</t>
  </si>
  <si>
    <t>46229257</t>
  </si>
  <si>
    <t>0807900</t>
  </si>
  <si>
    <t>0806059</t>
  </si>
  <si>
    <t>0807119</t>
  </si>
  <si>
    <t>0804841</t>
  </si>
  <si>
    <t>0810414</t>
  </si>
  <si>
    <t>0798420</t>
  </si>
  <si>
    <t>0807144</t>
  </si>
  <si>
    <t>0806931</t>
  </si>
  <si>
    <t>Missing Transactions - Trace ID 0793763</t>
  </si>
  <si>
    <t>Missing Transactions - Trace ID 0807003</t>
  </si>
  <si>
    <t>Missing Transactions - Trace ID 0807687</t>
  </si>
  <si>
    <t>376273406995</t>
  </si>
  <si>
    <t>0793763</t>
  </si>
  <si>
    <t>0807003</t>
  </si>
  <si>
    <t>0807687</t>
  </si>
  <si>
    <t>376273945992</t>
  </si>
  <si>
    <t>376272311998</t>
  </si>
  <si>
    <t>Missing Transactions - Trace ID 0806892</t>
  </si>
  <si>
    <t>Missing Transactions - Trace ID 0806592</t>
  </si>
  <si>
    <t>Missing Transactions - Trace ID 0805659</t>
  </si>
  <si>
    <t>Missing Transactions - Trace ID 0808066</t>
  </si>
  <si>
    <t>Missing Transactions - Trace ID 0807596</t>
  </si>
  <si>
    <t>Missing Transactions - Trace ID 0806863</t>
  </si>
  <si>
    <t>Missing Transactions - Trace ID 0805186</t>
  </si>
  <si>
    <t>0806892</t>
  </si>
  <si>
    <t>0805659</t>
  </si>
  <si>
    <t>0808066</t>
  </si>
  <si>
    <t>0807596</t>
  </si>
  <si>
    <t>0806863</t>
  </si>
  <si>
    <t>0805186</t>
  </si>
  <si>
    <t>0806592</t>
  </si>
  <si>
    <t>Missing Transactions - Trace ID 0791523</t>
  </si>
  <si>
    <t>Missing Transactions - Trace ID 0808041</t>
  </si>
  <si>
    <t>Missing Transactions - Trace ID 0806802</t>
  </si>
  <si>
    <t>Missing Transactions - Trace ID 0803435</t>
  </si>
  <si>
    <t>Missing Transactions - Trace ID 0807398</t>
  </si>
  <si>
    <t>Missing Transactions - Trace ID 0806359</t>
  </si>
  <si>
    <t>0791523</t>
  </si>
  <si>
    <t>0808041</t>
  </si>
  <si>
    <t>0803435</t>
  </si>
  <si>
    <t>0807398</t>
  </si>
  <si>
    <t>0806359</t>
  </si>
  <si>
    <t>0806802</t>
  </si>
  <si>
    <t>Missing Transactions - Trace ID 0808363</t>
  </si>
  <si>
    <t>Missing Transactions - Trace ID 0807198</t>
  </si>
  <si>
    <t>Missing Transactions - Trace ID 0807369</t>
  </si>
  <si>
    <t>Missing Transactions - Trace ID 0807012</t>
  </si>
  <si>
    <t>376272442991</t>
  </si>
  <si>
    <t>0808363</t>
  </si>
  <si>
    <t>0807369</t>
  </si>
  <si>
    <t>0807012</t>
  </si>
  <si>
    <t>0807198</t>
  </si>
  <si>
    <t>Missing Transactions - Trace ID 0809120</t>
  </si>
  <si>
    <t>Missing Transactions - Trace ID 0806808</t>
  </si>
  <si>
    <t>0809120</t>
  </si>
  <si>
    <t>0806808</t>
  </si>
  <si>
    <t>Missing Transactions - Trace ID 0806736</t>
  </si>
  <si>
    <t>376264598990</t>
  </si>
  <si>
    <t>0806736</t>
  </si>
  <si>
    <t>376270277993</t>
  </si>
  <si>
    <t>Missing Transactions - Trace ID 0808396</t>
  </si>
  <si>
    <t>Missing Transactions - Trace ID 0807059</t>
  </si>
  <si>
    <t>Missing Transactions - Trace ID 0803740</t>
  </si>
  <si>
    <t>Missing Transactions - Trace ID 0805807</t>
  </si>
  <si>
    <t>Missing Transactions - Trace ID 0794055</t>
  </si>
  <si>
    <t>Missing Transactions - Trace ID 0807210</t>
  </si>
  <si>
    <t>Missing Transaction - Trace ID 0805031</t>
  </si>
  <si>
    <t>Missing Transaction - Trace ID 0807450</t>
  </si>
  <si>
    <t>376265841993</t>
  </si>
  <si>
    <t>0808396</t>
  </si>
  <si>
    <t>0803740</t>
  </si>
  <si>
    <t>0805807</t>
  </si>
  <si>
    <t>0794055</t>
  </si>
  <si>
    <t>0807210</t>
  </si>
  <si>
    <t>0805031</t>
  </si>
  <si>
    <t>0807450</t>
  </si>
  <si>
    <t>0807059</t>
  </si>
  <si>
    <t>376271210993</t>
  </si>
  <si>
    <t>376261405991</t>
  </si>
  <si>
    <t>Missing Transaction - Trace ID 0804453</t>
  </si>
  <si>
    <t>Missing Transaction - Trace ID 0805119</t>
  </si>
  <si>
    <t>Missing Transaction - Trace ID 0808299</t>
  </si>
  <si>
    <t>Missing Transaction - Trace ID 0819127</t>
  </si>
  <si>
    <t>Missing Transaction - Trace ID 0809493</t>
  </si>
  <si>
    <t>Missing Transaction - Trace ID 0807690</t>
  </si>
  <si>
    <t>Missing Transaction - Trace ID 0805436</t>
  </si>
  <si>
    <t>0804453</t>
  </si>
  <si>
    <t>0808299</t>
  </si>
  <si>
    <t>0819127</t>
  </si>
  <si>
    <t>0809493</t>
  </si>
  <si>
    <t>0807690</t>
  </si>
  <si>
    <t>0805436</t>
  </si>
  <si>
    <t>Missing Transaction - Trace ID 0805571</t>
  </si>
  <si>
    <t>Missing Transaction - Trace ID 0807156</t>
  </si>
  <si>
    <t>Missing Transaction - Trace ID 0799729</t>
  </si>
  <si>
    <t>Missing Transaction - Trace ID 0806586</t>
  </si>
  <si>
    <t>Missing Transaction - Trace ID 0807826</t>
  </si>
  <si>
    <t>376213575990</t>
  </si>
  <si>
    <t>0805571</t>
  </si>
  <si>
    <t>0807156</t>
  </si>
  <si>
    <t>0799729</t>
  </si>
  <si>
    <t>0806586</t>
  </si>
  <si>
    <t>0807826</t>
  </si>
  <si>
    <t>Missing Transaction - Trace ID 0809116</t>
  </si>
  <si>
    <t>Missing Transaction - Trace ID 0777741</t>
  </si>
  <si>
    <t>Missing Transaction - Trace ID 0808997</t>
  </si>
  <si>
    <t>Missing Transaction - Trace ID 0804444</t>
  </si>
  <si>
    <t>376232609994</t>
  </si>
  <si>
    <t>0809116</t>
  </si>
  <si>
    <t>0808997</t>
  </si>
  <si>
    <t>0804444</t>
  </si>
  <si>
    <t>0777741</t>
  </si>
  <si>
    <t>Missing Transaction - Trace ID 0808292</t>
  </si>
  <si>
    <t>Missing Transaction - Trace ID 0807530</t>
  </si>
  <si>
    <t>Missing Transaction - Trace ID 0806687</t>
  </si>
  <si>
    <t>0808292</t>
  </si>
  <si>
    <t>0807530</t>
  </si>
  <si>
    <t>0806687</t>
  </si>
  <si>
    <t>Missing Transaction - Trace ID 0803692</t>
  </si>
  <si>
    <t>Missing Transaction - Trace ID 0805442</t>
  </si>
  <si>
    <t>Missing Transaction - Trace ID 0808068</t>
  </si>
  <si>
    <t>376238765998</t>
  </si>
  <si>
    <t>0803692</t>
  </si>
  <si>
    <t>0805442</t>
  </si>
  <si>
    <t>0808068</t>
  </si>
  <si>
    <t>376271257994</t>
  </si>
  <si>
    <t>Missing Transaction - Trace ID 0805056</t>
  </si>
  <si>
    <t>Missing Transaction - Trace ID 0807591</t>
  </si>
  <si>
    <t>Missing Transaction -  $27.60 Trace ID 0645360; $59.70 Trace ID 0646789</t>
  </si>
  <si>
    <t>Missing Transaction - Trace ID 0808206</t>
  </si>
  <si>
    <t>Missing Transaction -  $57.20 Trace ID 0797866; $31.77 Trace ID 0807267</t>
  </si>
  <si>
    <t>Missing Transaction - Trace ID 0803486</t>
  </si>
  <si>
    <t>Missing Transaction - Trace ID 0809483</t>
  </si>
  <si>
    <t>Missing Transaction - Trace ID 0808533</t>
  </si>
  <si>
    <t>0805056</t>
  </si>
  <si>
    <t>0646789</t>
  </si>
  <si>
    <t>0808206</t>
  </si>
  <si>
    <t>0807267</t>
  </si>
  <si>
    <t>0803486</t>
  </si>
  <si>
    <t>0809483</t>
  </si>
  <si>
    <t>0808533</t>
  </si>
  <si>
    <t>0807591</t>
  </si>
  <si>
    <t>0645360</t>
  </si>
  <si>
    <t>0797866</t>
  </si>
  <si>
    <t>Missing Transaction - Trace ID 0806399</t>
  </si>
  <si>
    <t>376266733991</t>
  </si>
  <si>
    <t>47553396</t>
  </si>
  <si>
    <t>0806399</t>
  </si>
  <si>
    <t>Missing Transaction - Trace ID 0807635</t>
  </si>
  <si>
    <t>Missing Transaction - Trace ID 0806561</t>
  </si>
  <si>
    <t>Missing Transaction -  $53.11 Trace ID 0806830; $61.66 Trace ID 0805494</t>
  </si>
  <si>
    <t>Missing Transaction -  $44.88 Trace ID 0807277; $70.09 Trace ID 0804647</t>
  </si>
  <si>
    <t>Missing Transaction -  $59.91 Trace ID 0805643; $56.40 Trace ID 0807415</t>
  </si>
  <si>
    <t>0807635</t>
  </si>
  <si>
    <t>0806561</t>
  </si>
  <si>
    <t>0806830</t>
  </si>
  <si>
    <t>0805494</t>
  </si>
  <si>
    <t>0805643</t>
  </si>
  <si>
    <t>0804647</t>
  </si>
  <si>
    <t>0807415</t>
  </si>
  <si>
    <t>0807277</t>
  </si>
  <si>
    <t>Missing Transaction -  $53.01 Trace ID 0808585; $66.16 Trace ID 0805251</t>
  </si>
  <si>
    <t>0808585</t>
  </si>
  <si>
    <t>0805251</t>
  </si>
  <si>
    <t>Missing Transaction - Trace ID 0806924</t>
  </si>
  <si>
    <t>Missing Transaction - Trace ID 0806125</t>
  </si>
  <si>
    <t>Missing Transaction - Trace ID 0803682</t>
  </si>
  <si>
    <t>Missing Transaction - Trace ID 0806186</t>
  </si>
  <si>
    <t>Missing Transaction -  $53.78 Trace ID 0809046; $87.08 Trace ID 0807273; $61.26 Trace ID 0806781</t>
  </si>
  <si>
    <t>Missing Transaction -  $143.18 Trace ID 0794364; $62.95 Trace ID 0799822</t>
  </si>
  <si>
    <t>Missing Transaction - Trace ID 0808770</t>
  </si>
  <si>
    <t>Missing Transaction - Trace ID 0792692</t>
  </si>
  <si>
    <t>376268686999</t>
  </si>
  <si>
    <t>376260552991</t>
  </si>
  <si>
    <t>376220758993</t>
  </si>
  <si>
    <t>0806924</t>
  </si>
  <si>
    <t>0803682</t>
  </si>
  <si>
    <t>0806186</t>
  </si>
  <si>
    <t>0806781</t>
  </si>
  <si>
    <t>0799822</t>
  </si>
  <si>
    <t>0808770</t>
  </si>
  <si>
    <t>0792692</t>
  </si>
  <si>
    <t>0806125</t>
  </si>
  <si>
    <t>0809046</t>
  </si>
  <si>
    <t>0807273</t>
  </si>
  <si>
    <t>0794364</t>
  </si>
  <si>
    <t>Missing Transaction - Trace ID 0805432</t>
  </si>
  <si>
    <t>3805432</t>
  </si>
  <si>
    <t>Missing Transaction - Trace ID 0806959</t>
  </si>
  <si>
    <t>376273988992</t>
  </si>
  <si>
    <t>Missing Transaction - Trace ID 0807230</t>
  </si>
  <si>
    <t>0806959</t>
  </si>
  <si>
    <t>0807230</t>
  </si>
  <si>
    <t>376275871998</t>
  </si>
  <si>
    <t>376275544991</t>
  </si>
  <si>
    <t>Void, Did not Receive Funding - Tax Levy Hold issue</t>
  </si>
  <si>
    <t>376212643997</t>
  </si>
  <si>
    <t>10/22/17 to 10/28/17</t>
  </si>
  <si>
    <t>Missing Credit Transaction - Trace ID 47553396 - Actually Prev EF that was mislabeled as a missing Transaction last week</t>
  </si>
  <si>
    <t>Missing Transaction - Trace ID 47553396 This is actually EF that was mislabeled as a missing Transaction.</t>
  </si>
  <si>
    <t>Missing Transaction - Trace ID 41965800</t>
  </si>
  <si>
    <t>Missing Transaction - Trace ID 0837956</t>
  </si>
  <si>
    <t>0837956</t>
  </si>
  <si>
    <t>Missing Transaction - Trace ID 42254770</t>
  </si>
  <si>
    <t>Missing Transaction - Trace ID 42281889</t>
  </si>
  <si>
    <t>Missing Transaction - Trace ID 0852255</t>
  </si>
  <si>
    <t>376273995997</t>
  </si>
  <si>
    <t>42281889</t>
  </si>
  <si>
    <t>085225</t>
  </si>
  <si>
    <t>376266687999</t>
  </si>
  <si>
    <t>Missing Transaction - Trace ID 0819559</t>
  </si>
  <si>
    <t>Missing Transaction - Trace ID 0835577</t>
  </si>
  <si>
    <t>0819559</t>
  </si>
  <si>
    <t>0835577</t>
  </si>
  <si>
    <t>Missing Transaction - Trace ID 0848065</t>
  </si>
  <si>
    <t>Missing Transaction - Trace ID 0852099</t>
  </si>
  <si>
    <t>0848065</t>
  </si>
  <si>
    <t>0852099</t>
  </si>
  <si>
    <t>Missing Transaction - Trace ID 42296014</t>
  </si>
  <si>
    <t>376232463996</t>
  </si>
  <si>
    <t>Missing Transaction - $65.08 Trace ID 42337830; $74.33 Trace ID 42304140; $53.61 Trace ID 42253124</t>
  </si>
  <si>
    <t>42337830</t>
  </si>
  <si>
    <t>This was actually EF and not a missing transactions</t>
  </si>
  <si>
    <t>376263954996</t>
  </si>
  <si>
    <t>Missing Credit Trans - Rec'vd Credit Trans for $10 but Missing Credit Trans was for $330.90 - Trace ID 3109</t>
  </si>
  <si>
    <t>3109</t>
  </si>
  <si>
    <t>10/29/17 to 11/04/17</t>
  </si>
  <si>
    <t>Missing Transactions $36.40 Trace ID 4082; $36.40 Trace ID 4081</t>
  </si>
  <si>
    <t>Missing Credit Trans - Rec'vd Credit Trans for $12 but Missing Credit Trans was for $117.09 - Trace ID 4068</t>
  </si>
  <si>
    <t>Missing Transaction Trace ID 0871069</t>
  </si>
  <si>
    <t>0871069</t>
  </si>
  <si>
    <t>Missing Transaction - Trace ID 0881763</t>
  </si>
  <si>
    <t>Missing Transaction - Trace ID 0852131</t>
  </si>
  <si>
    <t>376269576991</t>
  </si>
  <si>
    <t>0881763</t>
  </si>
  <si>
    <t>0852131</t>
  </si>
  <si>
    <t>Missing Transaction Trace ID 0880315</t>
  </si>
  <si>
    <t>0880315</t>
  </si>
  <si>
    <t>Missing Transactions - Trace ID 0857786</t>
  </si>
  <si>
    <t>Missing Transaction - Trace ID 0877003</t>
  </si>
  <si>
    <t>376272619994</t>
  </si>
  <si>
    <t>0857786</t>
  </si>
  <si>
    <t>0877003</t>
  </si>
  <si>
    <t>Missing Transaction - Trace ID 3751</t>
  </si>
  <si>
    <t>376208859995</t>
  </si>
  <si>
    <t>Missing Transaction - Trace ID 0881072</t>
  </si>
  <si>
    <t>Missing Transaction - Trace ID 0868893</t>
  </si>
  <si>
    <t>Missing Transaction - $89.25 Trace ID 0863731; $105.95 Trace ID 0880337; $169.90 Trace ID 0856769</t>
  </si>
  <si>
    <t>0881072</t>
  </si>
  <si>
    <t>0856769</t>
  </si>
  <si>
    <t>0868893</t>
  </si>
  <si>
    <t>0863731</t>
  </si>
  <si>
    <t>0880337</t>
  </si>
  <si>
    <t>Void Did not Receive Funding.</t>
  </si>
  <si>
    <t>11/05/17 to 11/11/2017</t>
  </si>
  <si>
    <t xml:space="preserve">Missing Transaction - $89.25 Trace ID 0863731; $105.95 Trace ID 0880337; $169.90 Trace ID 0856769 </t>
  </si>
  <si>
    <t>Missing Credit transaction - Trace ID 4299 ; There is a Credit of $28.10 but a missing credit of $130.95</t>
  </si>
  <si>
    <t>Missing Credit transaction - Trace ID 5368; There is a Credit of $21.96 but a missing credit of $109.82</t>
  </si>
  <si>
    <t>376273996995</t>
  </si>
  <si>
    <t>Missing Credit transaction - Trace ID 0880315 Washes with Prev Week</t>
  </si>
  <si>
    <t>Missing Credit transaction - Trace ID 4622; There is a Credit of $14.95 but a missing credit of $78.08</t>
  </si>
  <si>
    <t>Missing Transaction - Trace ID 0883368</t>
  </si>
  <si>
    <t>0883368</t>
  </si>
  <si>
    <t>Missing Transaction - Trace ID 0894419</t>
  </si>
  <si>
    <t>Missing Transaction - Trace ID 5366</t>
  </si>
  <si>
    <t>0894419</t>
  </si>
  <si>
    <t>Missing Transaction - Trace ID 6504</t>
  </si>
  <si>
    <t>Missing Transaction - Trace ID 0886487</t>
  </si>
  <si>
    <t>0886487</t>
  </si>
  <si>
    <t>Missing Transaction - Trace ID 0904851</t>
  </si>
  <si>
    <t>Missing Transaction - Trace ID 0894766</t>
  </si>
  <si>
    <t>376214149993</t>
  </si>
  <si>
    <t>0894766</t>
  </si>
  <si>
    <t>0904851</t>
  </si>
  <si>
    <t>Missing Transaction - Trace ID 0905713</t>
  </si>
  <si>
    <t>376265099998</t>
  </si>
  <si>
    <t>0905713</t>
  </si>
  <si>
    <t>Missing Transaction - Trace ID 0879569</t>
  </si>
  <si>
    <t>376255211991</t>
  </si>
  <si>
    <t>Missing Transaction - Trace ID 6086</t>
  </si>
  <si>
    <t>0879569</t>
  </si>
  <si>
    <t>Missing Transaction - Trace ID 6014</t>
  </si>
  <si>
    <t>Missing Transaction - Trace ID 0909083</t>
  </si>
  <si>
    <t>Missing Transaction - Trace ID 0909767</t>
  </si>
  <si>
    <t>6014</t>
  </si>
  <si>
    <t>0909083</t>
  </si>
  <si>
    <t>0909767</t>
  </si>
  <si>
    <t>Missing Transaction - Trace ID 0901115</t>
  </si>
  <si>
    <t>0901115</t>
  </si>
  <si>
    <t>376277760991</t>
  </si>
  <si>
    <t>376277758995</t>
  </si>
  <si>
    <t xml:space="preserve">Cannot See in CL Missing Transaction - This should not have been listed as missing transaction. Relates tomid 376277758995 </t>
  </si>
  <si>
    <t>Unvoided- Relates to mid 37627760991</t>
  </si>
  <si>
    <t>Not truly missing, relates to mid 376277758995</t>
  </si>
  <si>
    <t>Missing Credit Transaction Trace ID 0904851</t>
  </si>
  <si>
    <t>11/12/17 to 11/18/17</t>
  </si>
  <si>
    <t>Missing Credit Transaction - Trace ID 0672181</t>
  </si>
  <si>
    <t>Missing Credit Transaction - Trace ID 8532 (This credit is for $191.20 however we have a credit of $18 in PBS)</t>
  </si>
  <si>
    <t>Missing Credit Transaction - Trace ID 7488 (This credit is for $64.65 however we have a credit of $38.46 in PBS)</t>
  </si>
  <si>
    <t>Missing Credit Transaction - Trace ID 8061 (This credit is for $97.56 however we have a credit of $8.93 in PBS)</t>
  </si>
  <si>
    <t>Missing Credit Transaction - Trace ID 7491 (This credit is for $103.82 however we have a credit of $10 in PBS)</t>
  </si>
  <si>
    <t>Missing Credit Transaction - Trace ID 8977 (This credit is for $61.34 however we have a credit of $19.95 in PBS)</t>
  </si>
  <si>
    <t>Missing Credit Transaction - Trace ID 8789 (This credit is for $312.07 however we have a credit of $20 in PBS)</t>
  </si>
  <si>
    <t>Missing Transaction - Trace ID 0913582</t>
  </si>
  <si>
    <t>376272233994</t>
  </si>
  <si>
    <t>Missing Transaction Trace ID 0937322</t>
  </si>
  <si>
    <t>0913582</t>
  </si>
  <si>
    <t>0937322</t>
  </si>
  <si>
    <t>11/19/17 to 11/25/17</t>
  </si>
  <si>
    <t>Missing Amex Transaction - Trace ID 0919142</t>
  </si>
  <si>
    <t>0919142</t>
  </si>
  <si>
    <t>Unvoided, Funding Rec'vd</t>
  </si>
  <si>
    <t>Missing Credit Transaction - Trace ID 10707</t>
  </si>
  <si>
    <t>376274998990</t>
  </si>
  <si>
    <t>Missing Credit Transaction - Trace ID 9646</t>
  </si>
  <si>
    <t>Missing Credit Transaction - Trace ID 9946</t>
  </si>
  <si>
    <t>376264962998</t>
  </si>
  <si>
    <t>Missing Credit Transaction - Trace ID 10189</t>
  </si>
  <si>
    <t>Missing Transaction - Trace ID 0952788</t>
  </si>
  <si>
    <t>0952788</t>
  </si>
  <si>
    <t>Missing Transaction - Trace ID 0954904</t>
  </si>
  <si>
    <t>Missing Transaction - Trace ID 0944283</t>
  </si>
  <si>
    <t>376261008993</t>
  </si>
  <si>
    <t>0954904</t>
  </si>
  <si>
    <t>0944283</t>
  </si>
  <si>
    <t>Missing Transaction - Trace ID 0947589</t>
  </si>
  <si>
    <t>Missing Transaction - Trace ID 0949858</t>
  </si>
  <si>
    <t>376255733994</t>
  </si>
  <si>
    <t>0947589</t>
  </si>
  <si>
    <t>0949858</t>
  </si>
  <si>
    <t>Missing Transaction - Trace ID 0960504</t>
  </si>
  <si>
    <t>Missing Transaction - Trace ID 0933559</t>
  </si>
  <si>
    <t>0960504</t>
  </si>
  <si>
    <t>0933559</t>
  </si>
  <si>
    <t>Missing Transaction - Trace ID 0975898</t>
  </si>
  <si>
    <t>0975898</t>
  </si>
  <si>
    <t>Missing Transaction - Trace ID 0947512</t>
  </si>
  <si>
    <t>0947512</t>
  </si>
  <si>
    <t>Missing Transaction - Trace ID 0956714</t>
  </si>
  <si>
    <t>0956714</t>
  </si>
  <si>
    <t>Missing Transaction - Trace ID 0968287</t>
  </si>
  <si>
    <t>376274488992</t>
  </si>
  <si>
    <t>0968287</t>
  </si>
  <si>
    <t>Missing Transaction - Trace ID 0970856</t>
  </si>
  <si>
    <t>0970856</t>
  </si>
  <si>
    <t>Missing Transaction - Trace ID 0965811</t>
  </si>
  <si>
    <t>0965811</t>
  </si>
  <si>
    <t>Missing Transaction - Trace ID 0925502</t>
  </si>
  <si>
    <t>0925502</t>
  </si>
  <si>
    <t>Missing Credit Transaction - Trace ID 0933559 Washes with Prev Week</t>
  </si>
  <si>
    <t>11/26/17 to 12/02/17</t>
  </si>
  <si>
    <t>Missing Transaction - $59.95 Trace ID 0996950; Missing Credit Transaction ($415.65) Trace ID 0925502</t>
  </si>
  <si>
    <t>0996950</t>
  </si>
  <si>
    <t>Missing Transaction - $46.61 Trace ID 14450; Missing Credit Transaction ($190.46) Trace ID 14131 However we have a credit transaction for $49.90</t>
  </si>
  <si>
    <t>14131</t>
  </si>
  <si>
    <t>Missing Credit Transaction - Trace ID 11651 Credit is $77.45 however we already have a credit of $10</t>
  </si>
  <si>
    <t>Missing Credit Transaction - Trace ID 13040 Credit is $68.09 however we already have a credit of $20.43</t>
  </si>
  <si>
    <t>Missing Credit Transaction -  Trace ID 12032 Credit is $68.09 however we already have a credit of $10; Trace ID 12026 Credit is $66.15 however we already havea credit of $10</t>
  </si>
  <si>
    <t>376216847990</t>
  </si>
  <si>
    <t>Missing Credit Transaction - Trace ID 13179 Credit is $30.18 however we already have a credit of $6.79</t>
  </si>
  <si>
    <t>Missing Transaction - Trace ID 0002489</t>
  </si>
  <si>
    <t>0002489</t>
  </si>
  <si>
    <t>Missing Transaction - Trace ID 0987493</t>
  </si>
  <si>
    <t>0987493</t>
  </si>
  <si>
    <t>Missing Transaction - Trace ID 0982154</t>
  </si>
  <si>
    <t>0982154</t>
  </si>
  <si>
    <t>376276442997</t>
  </si>
  <si>
    <t>Missing Transaction - Trace ID 0000200</t>
  </si>
  <si>
    <t>0000200</t>
  </si>
  <si>
    <t>9/18/017</t>
  </si>
  <si>
    <t>Void, Did not Receive Funding Received Sept Transaction in Dec but do not show that we received this funding on the 9/20 to 9/26 Funding Date</t>
  </si>
  <si>
    <t>Void, Did not Receive Funding Received Oct Transaction in Dec but do not show that we received this funding on the 10/18 to 10/24 Funding Date</t>
  </si>
  <si>
    <t>TEST. DELETE AFTER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</si>
</sst>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;@"/>
    <numFmt numFmtId="166" formatCode="m/d/yyyy;@"/>
    <numFmt numFmtId="167" formatCode="0_);\(0\)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3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43" fontId="23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2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0" borderId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54" borderId="16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54" borderId="16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47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7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61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5" fillId="0" borderId="0"/>
    <xf numFmtId="43" fontId="19" fillId="0" borderId="0" applyFont="0" applyFill="0" applyBorder="0" applyAlignment="0" applyProtection="0"/>
    <xf numFmtId="0" fontId="19" fillId="0" borderId="0"/>
  </cellStyleXfs>
  <cellXfs count="612">
    <xf numFmtId="0" fontId="0" fillId="0" borderId="0" xfId="0"/>
    <xf numFmtId="0" fontId="0" fillId="0" borderId="0" xfId="0"/>
    <xf numFmtId="0" fontId="42" fillId="0" borderId="0" xfId="0" applyFont="1"/>
    <xf numFmtId="0" fontId="48" fillId="56" borderId="0" xfId="387" applyFont="1" applyFill="1" applyAlignment="1">
      <alignment horizontal="left"/>
    </xf>
    <xf numFmtId="0" fontId="49" fillId="0" borderId="0" xfId="38" applyFont="1" applyFill="1" applyAlignment="1">
      <alignment horizontal="left"/>
    </xf>
    <xf numFmtId="0" fontId="49" fillId="0" borderId="0" xfId="38" applyFont="1" applyAlignment="1">
      <alignment horizontal="left"/>
    </xf>
    <xf numFmtId="14" fontId="49" fillId="0" borderId="0" xfId="38" applyNumberFormat="1" applyFont="1" applyFill="1" applyAlignment="1">
      <alignment horizontal="left"/>
    </xf>
    <xf numFmtId="14" fontId="49" fillId="0" borderId="0" xfId="38" applyNumberFormat="1" applyFont="1" applyAlignment="1">
      <alignment horizontal="left"/>
    </xf>
    <xf numFmtId="1" fontId="49" fillId="0" borderId="0" xfId="38" applyNumberFormat="1" applyFont="1" applyFill="1"/>
    <xf numFmtId="1" fontId="49" fillId="0" borderId="0" xfId="11" applyNumberFormat="1" applyFont="1" applyFill="1" applyAlignment="1">
      <alignment horizontal="left"/>
    </xf>
    <xf numFmtId="0" fontId="49" fillId="0" borderId="0" xfId="38" applyFont="1" applyFill="1"/>
    <xf numFmtId="0" fontId="50" fillId="0" borderId="0" xfId="0" applyFont="1" applyFill="1"/>
    <xf numFmtId="0" fontId="51" fillId="0" borderId="0" xfId="0" applyFont="1"/>
    <xf numFmtId="0" fontId="49" fillId="0" borderId="0" xfId="0" applyFont="1" applyFill="1"/>
    <xf numFmtId="1" fontId="49" fillId="0" borderId="0" xfId="0" applyNumberFormat="1" applyFont="1" applyFill="1"/>
    <xf numFmtId="0" fontId="50" fillId="0" borderId="0" xfId="0" applyFont="1"/>
    <xf numFmtId="0" fontId="49" fillId="0" borderId="0" xfId="38" applyFont="1"/>
    <xf numFmtId="49" fontId="49" fillId="0" borderId="0" xfId="38" applyNumberFormat="1" applyFont="1"/>
    <xf numFmtId="0" fontId="50" fillId="0" borderId="0" xfId="38" applyFont="1"/>
    <xf numFmtId="0" fontId="49" fillId="0" borderId="0" xfId="0" applyFont="1"/>
    <xf numFmtId="1" fontId="49" fillId="0" borderId="0" xfId="0" applyNumberFormat="1" applyFont="1"/>
    <xf numFmtId="0" fontId="49" fillId="0" borderId="0" xfId="38" applyFont="1" applyFill="1" applyBorder="1" applyAlignment="1">
      <alignment horizontal="left"/>
    </xf>
    <xf numFmtId="0" fontId="49" fillId="0" borderId="0" xfId="2" applyFont="1" applyFill="1" applyAlignment="1">
      <alignment horizontal="left"/>
    </xf>
    <xf numFmtId="1" fontId="52" fillId="0" borderId="0" xfId="11" applyNumberFormat="1" applyFont="1" applyFill="1" applyAlignment="1">
      <alignment horizontal="left"/>
    </xf>
    <xf numFmtId="0" fontId="53" fillId="0" borderId="0" xfId="0" applyFont="1"/>
    <xf numFmtId="0" fontId="49" fillId="0" borderId="0" xfId="4" applyFont="1" applyFill="1" applyAlignment="1">
      <alignment horizontal="left"/>
    </xf>
    <xf numFmtId="0" fontId="49" fillId="0" borderId="0" xfId="0" applyFont="1" applyFill="1" applyAlignment="1">
      <alignment horizontal="left"/>
    </xf>
    <xf numFmtId="43" fontId="49" fillId="0" borderId="0" xfId="13" applyFont="1" applyFill="1" applyAlignment="1">
      <alignment horizontal="left"/>
    </xf>
    <xf numFmtId="0" fontId="49" fillId="0" borderId="0" xfId="4" applyFont="1" applyAlignment="1">
      <alignment horizontal="left"/>
    </xf>
    <xf numFmtId="0" fontId="49" fillId="0" borderId="0" xfId="0" applyFont="1" applyAlignment="1">
      <alignment horizontal="left"/>
    </xf>
    <xf numFmtId="49" fontId="49" fillId="0" borderId="0" xfId="38" applyNumberFormat="1" applyFont="1" applyFill="1" applyAlignment="1">
      <alignment horizontal="left"/>
    </xf>
    <xf numFmtId="49" fontId="49" fillId="0" borderId="0" xfId="38" applyNumberFormat="1" applyFont="1" applyAlignment="1">
      <alignment horizontal="left"/>
    </xf>
    <xf numFmtId="49" fontId="49" fillId="0" borderId="0" xfId="0" applyNumberFormat="1" applyFont="1" applyFill="1" applyAlignment="1">
      <alignment horizontal="left"/>
    </xf>
    <xf numFmtId="0" fontId="49" fillId="0" borderId="0" xfId="0" quotePrefix="1" applyFont="1" applyAlignment="1">
      <alignment horizontal="left"/>
    </xf>
    <xf numFmtId="0" fontId="49" fillId="0" borderId="19" xfId="344" applyFont="1" applyFill="1" applyBorder="1" applyAlignment="1">
      <alignment horizontal="left" wrapText="1"/>
    </xf>
    <xf numFmtId="0" fontId="49" fillId="0" borderId="19" xfId="345" applyFont="1" applyFill="1" applyBorder="1" applyAlignment="1">
      <alignment horizontal="left" wrapText="1"/>
    </xf>
    <xf numFmtId="43" fontId="49" fillId="0" borderId="0" xfId="1" applyFont="1" applyAlignment="1">
      <alignment horizontal="left"/>
    </xf>
    <xf numFmtId="165" fontId="49" fillId="0" borderId="0" xfId="38" applyNumberFormat="1" applyFont="1" applyAlignment="1">
      <alignment horizontal="left"/>
    </xf>
    <xf numFmtId="1" fontId="49" fillId="0" borderId="0" xfId="38" applyNumberFormat="1" applyFont="1" applyAlignment="1">
      <alignment horizontal="left"/>
    </xf>
    <xf numFmtId="0" fontId="55" fillId="0" borderId="0" xfId="18" applyFont="1"/>
    <xf numFmtId="0" fontId="54" fillId="0" borderId="16" xfId="378" applyFont="1" applyFill="1" applyBorder="1" applyAlignment="1">
      <alignment horizontal="right" wrapText="1"/>
    </xf>
    <xf numFmtId="49" fontId="50" fillId="0" borderId="0" xfId="38" applyNumberFormat="1" applyFont="1"/>
    <xf numFmtId="165" fontId="49" fillId="0" borderId="0" xfId="279" applyNumberFormat="1" applyFont="1" applyAlignment="1">
      <alignment horizontal="left"/>
    </xf>
    <xf numFmtId="0" fontId="49" fillId="0" borderId="0" xfId="279" applyFont="1"/>
    <xf numFmtId="165" fontId="51" fillId="0" borderId="0" xfId="0" applyNumberFormat="1" applyFont="1" applyAlignment="1">
      <alignment horizontal="left"/>
    </xf>
    <xf numFmtId="0" fontId="55" fillId="0" borderId="0" xfId="4" applyFont="1"/>
    <xf numFmtId="0" fontId="50" fillId="0" borderId="16" xfId="345" applyFont="1" applyFill="1" applyBorder="1" applyAlignment="1">
      <alignment horizontal="right" wrapText="1"/>
    </xf>
    <xf numFmtId="164" fontId="54" fillId="0" borderId="16" xfId="344" applyNumberFormat="1" applyFont="1" applyFill="1" applyBorder="1" applyAlignment="1">
      <alignment horizontal="right" wrapText="1"/>
    </xf>
    <xf numFmtId="165" fontId="50" fillId="0" borderId="16" xfId="378" applyNumberFormat="1" applyFont="1" applyFill="1" applyBorder="1" applyAlignment="1">
      <alignment horizontal="left" wrapText="1"/>
    </xf>
    <xf numFmtId="165" fontId="48" fillId="56" borderId="0" xfId="387" applyNumberFormat="1" applyFont="1" applyFill="1" applyAlignment="1">
      <alignment horizontal="left"/>
    </xf>
    <xf numFmtId="164" fontId="55" fillId="0" borderId="16" xfId="344" applyNumberFormat="1" applyFont="1" applyFill="1" applyBorder="1" applyAlignment="1">
      <alignment horizontal="left" wrapText="1"/>
    </xf>
    <xf numFmtId="164" fontId="49" fillId="0" borderId="16" xfId="344" applyNumberFormat="1" applyFont="1" applyFill="1" applyBorder="1" applyAlignment="1">
      <alignment horizontal="left" wrapText="1"/>
    </xf>
    <xf numFmtId="1" fontId="49" fillId="0" borderId="0" xfId="279" applyNumberFormat="1" applyFont="1" applyAlignment="1">
      <alignment horizontal="left"/>
    </xf>
    <xf numFmtId="165" fontId="50" fillId="0" borderId="0" xfId="0" applyNumberFormat="1" applyFont="1" applyAlignment="1">
      <alignment horizontal="left"/>
    </xf>
    <xf numFmtId="165" fontId="50" fillId="0" borderId="16" xfId="345" applyNumberFormat="1" applyFont="1" applyFill="1" applyBorder="1" applyAlignment="1">
      <alignment horizontal="left" wrapText="1"/>
    </xf>
    <xf numFmtId="165" fontId="54" fillId="0" borderId="16" xfId="344" applyNumberFormat="1" applyFont="1" applyFill="1" applyBorder="1" applyAlignment="1">
      <alignment horizontal="left" wrapText="1"/>
    </xf>
    <xf numFmtId="1" fontId="49" fillId="0" borderId="0" xfId="0" applyNumberFormat="1" applyFont="1" applyAlignment="1">
      <alignment horizontal="left"/>
    </xf>
    <xf numFmtId="1" fontId="49" fillId="0" borderId="16" xfId="378" applyNumberFormat="1" applyFont="1" applyFill="1" applyBorder="1" applyAlignment="1">
      <alignment horizontal="left" wrapText="1"/>
    </xf>
    <xf numFmtId="1" fontId="49" fillId="0" borderId="16" xfId="345" applyNumberFormat="1" applyFont="1" applyFill="1" applyBorder="1" applyAlignment="1">
      <alignment horizontal="left" wrapText="1"/>
    </xf>
    <xf numFmtId="1" fontId="52" fillId="0" borderId="0" xfId="0" applyNumberFormat="1" applyFont="1" applyAlignment="1">
      <alignment horizontal="left"/>
    </xf>
    <xf numFmtId="1" fontId="56" fillId="0" borderId="0" xfId="0" applyNumberFormat="1" applyFont="1" applyAlignment="1">
      <alignment horizontal="left"/>
    </xf>
    <xf numFmtId="1" fontId="49" fillId="0" borderId="0" xfId="0" quotePrefix="1" applyNumberFormat="1" applyFont="1" applyAlignment="1">
      <alignment horizontal="left"/>
    </xf>
    <xf numFmtId="1" fontId="55" fillId="0" borderId="16" xfId="378" applyNumberFormat="1" applyFont="1" applyFill="1" applyBorder="1" applyAlignment="1">
      <alignment horizontal="left" wrapText="1"/>
    </xf>
    <xf numFmtId="1" fontId="52" fillId="0" borderId="16" xfId="344" applyNumberFormat="1" applyFont="1" applyFill="1" applyBorder="1" applyAlignment="1">
      <alignment horizontal="left" wrapText="1"/>
    </xf>
    <xf numFmtId="1" fontId="55" fillId="0" borderId="16" xfId="379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horizontal="left" wrapText="1"/>
    </xf>
    <xf numFmtId="1" fontId="55" fillId="0" borderId="16" xfId="344" applyNumberFormat="1" applyFont="1" applyFill="1" applyBorder="1" applyAlignment="1">
      <alignment horizontal="left" wrapText="1"/>
    </xf>
    <xf numFmtId="164" fontId="52" fillId="0" borderId="19" xfId="344" applyNumberFormat="1" applyFont="1" applyFill="1" applyBorder="1" applyAlignment="1">
      <alignment horizontal="left" wrapText="1"/>
    </xf>
    <xf numFmtId="0" fontId="52" fillId="0" borderId="0" xfId="0" applyFont="1" applyAlignment="1">
      <alignment horizontal="left"/>
    </xf>
    <xf numFmtId="0" fontId="53" fillId="0" borderId="16" xfId="344" applyFont="1" applyFill="1" applyBorder="1" applyAlignment="1">
      <alignment horizontal="right" wrapText="1"/>
    </xf>
    <xf numFmtId="165" fontId="53" fillId="0" borderId="0" xfId="0" applyNumberFormat="1" applyFont="1" applyAlignment="1">
      <alignment horizontal="left"/>
    </xf>
    <xf numFmtId="0" fontId="53" fillId="0" borderId="16" xfId="378" applyFont="1" applyFill="1" applyBorder="1" applyAlignment="1">
      <alignment horizontal="right" wrapText="1"/>
    </xf>
    <xf numFmtId="165" fontId="53" fillId="0" borderId="16" xfId="378" applyNumberFormat="1" applyFont="1" applyFill="1" applyBorder="1" applyAlignment="1">
      <alignment horizontal="left" wrapText="1"/>
    </xf>
    <xf numFmtId="0" fontId="55" fillId="0" borderId="19" xfId="345" applyFont="1" applyFill="1" applyBorder="1" applyAlignment="1">
      <alignment horizontal="left" wrapText="1"/>
    </xf>
    <xf numFmtId="0" fontId="52" fillId="0" borderId="19" xfId="345" applyFont="1" applyFill="1" applyBorder="1" applyAlignment="1">
      <alignment horizontal="left" wrapText="1"/>
    </xf>
    <xf numFmtId="0" fontId="52" fillId="0" borderId="16" xfId="378" applyFont="1" applyFill="1" applyBorder="1" applyAlignment="1">
      <alignment horizontal="left" wrapText="1"/>
    </xf>
    <xf numFmtId="0" fontId="49" fillId="0" borderId="0" xfId="279" applyFont="1" applyFill="1" applyBorder="1" applyAlignment="1">
      <alignment horizontal="left"/>
    </xf>
    <xf numFmtId="0" fontId="52" fillId="0" borderId="0" xfId="279" applyFont="1" applyFill="1" applyBorder="1" applyAlignment="1">
      <alignment horizontal="left"/>
    </xf>
    <xf numFmtId="0" fontId="52" fillId="0" borderId="16" xfId="344" applyFont="1" applyFill="1" applyBorder="1" applyAlignment="1">
      <alignment horizontal="left" wrapText="1"/>
    </xf>
    <xf numFmtId="0" fontId="55" fillId="0" borderId="16" xfId="378" applyFont="1" applyFill="1" applyBorder="1" applyAlignment="1">
      <alignment horizontal="left" wrapText="1"/>
    </xf>
    <xf numFmtId="0" fontId="49" fillId="0" borderId="16" xfId="345" applyFont="1" applyFill="1" applyBorder="1" applyAlignment="1">
      <alignment horizontal="left" wrapText="1"/>
    </xf>
    <xf numFmtId="0" fontId="55" fillId="0" borderId="16" xfId="344" applyFont="1" applyFill="1" applyBorder="1" applyAlignment="1">
      <alignment horizontal="left" wrapText="1"/>
    </xf>
    <xf numFmtId="0" fontId="49" fillId="0" borderId="16" xfId="378" applyFont="1" applyFill="1" applyBorder="1" applyAlignment="1">
      <alignment horizontal="left" wrapText="1"/>
    </xf>
    <xf numFmtId="0" fontId="55" fillId="0" borderId="19" xfId="344" applyFont="1" applyFill="1" applyBorder="1" applyAlignment="1">
      <alignment horizontal="left" wrapText="1"/>
    </xf>
    <xf numFmtId="0" fontId="55" fillId="0" borderId="16" xfId="379" applyFont="1" applyFill="1" applyBorder="1" applyAlignment="1">
      <alignment horizontal="left" wrapText="1"/>
    </xf>
    <xf numFmtId="0" fontId="52" fillId="0" borderId="19" xfId="344" applyFont="1" applyFill="1" applyBorder="1" applyAlignment="1">
      <alignment horizontal="left" wrapText="1"/>
    </xf>
    <xf numFmtId="2" fontId="49" fillId="0" borderId="0" xfId="38" applyNumberFormat="1" applyFont="1" applyAlignment="1">
      <alignment horizontal="left" readingOrder="1"/>
    </xf>
    <xf numFmtId="2" fontId="49" fillId="0" borderId="0" xfId="120" applyNumberFormat="1" applyFont="1" applyAlignment="1">
      <alignment horizontal="left" readingOrder="1"/>
    </xf>
    <xf numFmtId="2" fontId="55" fillId="0" borderId="16" xfId="344" applyNumberFormat="1" applyFont="1" applyFill="1" applyBorder="1" applyAlignment="1">
      <alignment horizontal="left" wrapText="1" readingOrder="1"/>
    </xf>
    <xf numFmtId="2" fontId="55" fillId="0" borderId="16" xfId="17" applyNumberFormat="1" applyFont="1" applyFill="1" applyBorder="1" applyAlignment="1">
      <alignment horizontal="left" wrapText="1" readingOrder="1"/>
    </xf>
    <xf numFmtId="2" fontId="55" fillId="0" borderId="16" xfId="379" applyNumberFormat="1" applyFont="1" applyFill="1" applyBorder="1" applyAlignment="1">
      <alignment horizontal="left" wrapText="1" readingOrder="1"/>
    </xf>
    <xf numFmtId="2" fontId="49" fillId="0" borderId="0" xfId="1" applyNumberFormat="1" applyFont="1" applyAlignment="1">
      <alignment horizontal="left" readingOrder="1"/>
    </xf>
    <xf numFmtId="2" fontId="55" fillId="0" borderId="16" xfId="30" applyNumberFormat="1" applyFont="1" applyFill="1" applyBorder="1" applyAlignment="1">
      <alignment horizontal="left" wrapText="1" readingOrder="1"/>
    </xf>
    <xf numFmtId="2" fontId="55" fillId="0" borderId="19" xfId="30" applyNumberFormat="1" applyFont="1" applyFill="1" applyBorder="1" applyAlignment="1">
      <alignment horizontal="left" wrapText="1" readingOrder="1"/>
    </xf>
    <xf numFmtId="2" fontId="52" fillId="0" borderId="0" xfId="0" applyNumberFormat="1" applyFont="1" applyAlignment="1">
      <alignment horizontal="left" readingOrder="1"/>
    </xf>
    <xf numFmtId="2" fontId="52" fillId="0" borderId="0" xfId="1" applyNumberFormat="1" applyFont="1" applyAlignment="1">
      <alignment horizontal="left" readingOrder="1"/>
    </xf>
    <xf numFmtId="2" fontId="49" fillId="0" borderId="16" xfId="30" applyNumberFormat="1" applyFont="1" applyFill="1" applyBorder="1" applyAlignment="1">
      <alignment horizontal="left" wrapText="1" readingOrder="1"/>
    </xf>
    <xf numFmtId="2" fontId="56" fillId="0" borderId="0" xfId="0" applyNumberFormat="1" applyFont="1" applyAlignment="1">
      <alignment horizontal="left" readingOrder="1"/>
    </xf>
    <xf numFmtId="2" fontId="49" fillId="0" borderId="0" xfId="0" applyNumberFormat="1" applyFont="1" applyAlignment="1">
      <alignment horizontal="left" readingOrder="1"/>
    </xf>
    <xf numFmtId="2" fontId="52" fillId="0" borderId="16" xfId="378" applyNumberFormat="1" applyFont="1" applyFill="1" applyBorder="1" applyAlignment="1">
      <alignment horizontal="left" wrapText="1" readingOrder="1"/>
    </xf>
    <xf numFmtId="2" fontId="55" fillId="0" borderId="19" xfId="344" applyNumberFormat="1" applyFont="1" applyFill="1" applyBorder="1" applyAlignment="1">
      <alignment horizontal="left" wrapText="1" readingOrder="1"/>
    </xf>
    <xf numFmtId="2" fontId="51" fillId="0" borderId="0" xfId="0" applyNumberFormat="1" applyFont="1" applyAlignment="1">
      <alignment horizontal="left" readingOrder="1"/>
    </xf>
    <xf numFmtId="14" fontId="49" fillId="0" borderId="0" xfId="0" applyNumberFormat="1" applyFont="1" applyFill="1" applyAlignment="1">
      <alignment horizontal="left"/>
    </xf>
    <xf numFmtId="14" fontId="49" fillId="0" borderId="0" xfId="0" applyNumberFormat="1" applyFont="1" applyAlignment="1">
      <alignment horizontal="left"/>
    </xf>
    <xf numFmtId="49" fontId="48" fillId="56" borderId="0" xfId="387" applyNumberFormat="1" applyFont="1" applyFill="1" applyAlignment="1">
      <alignment horizontal="left"/>
    </xf>
    <xf numFmtId="0" fontId="55" fillId="0" borderId="0" xfId="18" applyFont="1" applyAlignment="1">
      <alignment horizontal="left"/>
    </xf>
    <xf numFmtId="43" fontId="55" fillId="0" borderId="0" xfId="21" applyFont="1" applyAlignment="1">
      <alignment horizontal="left"/>
    </xf>
    <xf numFmtId="43" fontId="55" fillId="0" borderId="0" xfId="122" applyFont="1" applyAlignment="1">
      <alignment horizontal="left"/>
    </xf>
    <xf numFmtId="0" fontId="52" fillId="0" borderId="0" xfId="20" applyFont="1" applyFill="1" applyAlignment="1">
      <alignment horizontal="left"/>
    </xf>
    <xf numFmtId="43" fontId="55" fillId="0" borderId="0" xfId="16" applyFont="1" applyAlignment="1">
      <alignment horizontal="left"/>
    </xf>
    <xf numFmtId="0" fontId="52" fillId="0" borderId="0" xfId="4" applyFont="1" applyAlignment="1">
      <alignment horizontal="left"/>
    </xf>
    <xf numFmtId="0" fontId="51" fillId="0" borderId="0" xfId="0" applyFont="1" applyAlignment="1">
      <alignment horizontal="left"/>
    </xf>
    <xf numFmtId="0" fontId="49" fillId="0" borderId="0" xfId="465" applyFont="1" applyFill="1" applyAlignment="1">
      <alignment horizontal="left"/>
    </xf>
    <xf numFmtId="0" fontId="56" fillId="0" borderId="0" xfId="0" applyFont="1" applyAlignment="1">
      <alignment horizontal="left"/>
    </xf>
    <xf numFmtId="0" fontId="49" fillId="0" borderId="0" xfId="4" applyFont="1"/>
    <xf numFmtId="1" fontId="56" fillId="0" borderId="0" xfId="0" applyNumberFormat="1" applyFont="1"/>
    <xf numFmtId="1" fontId="58" fillId="56" borderId="0" xfId="387" applyNumberFormat="1" applyFont="1" applyFill="1" applyAlignment="1">
      <alignment horizontal="left"/>
    </xf>
    <xf numFmtId="0" fontId="56" fillId="0" borderId="0" xfId="0" applyFont="1"/>
    <xf numFmtId="14" fontId="49" fillId="0" borderId="0" xfId="0" applyNumberFormat="1" applyFont="1"/>
    <xf numFmtId="14" fontId="56" fillId="0" borderId="0" xfId="0" applyNumberFormat="1" applyFont="1" applyAlignment="1">
      <alignment horizontal="left"/>
    </xf>
    <xf numFmtId="49" fontId="49" fillId="0" borderId="0" xfId="0" applyNumberFormat="1" applyFont="1"/>
    <xf numFmtId="49" fontId="56" fillId="0" borderId="0" xfId="0" applyNumberFormat="1" applyFont="1"/>
    <xf numFmtId="43" fontId="56" fillId="0" borderId="0" xfId="1" applyFont="1"/>
    <xf numFmtId="0" fontId="55" fillId="0" borderId="0" xfId="2" applyFont="1" applyFill="1"/>
    <xf numFmtId="0" fontId="55" fillId="0" borderId="0" xfId="2" applyFont="1"/>
    <xf numFmtId="0" fontId="55" fillId="0" borderId="0" xfId="28" applyFont="1"/>
    <xf numFmtId="0" fontId="55" fillId="0" borderId="0" xfId="2" applyFont="1" applyFill="1" applyAlignment="1">
      <alignment horizontal="left"/>
    </xf>
    <xf numFmtId="1" fontId="55" fillId="0" borderId="0" xfId="2" applyNumberFormat="1" applyFont="1" applyFill="1" applyAlignment="1">
      <alignment horizontal="left"/>
    </xf>
    <xf numFmtId="0" fontId="55" fillId="57" borderId="0" xfId="2" applyFont="1" applyFill="1" applyAlignment="1">
      <alignment horizontal="left"/>
    </xf>
    <xf numFmtId="0" fontId="55" fillId="0" borderId="0" xfId="5" applyFont="1"/>
    <xf numFmtId="0" fontId="58" fillId="0" borderId="0" xfId="0" applyFont="1"/>
    <xf numFmtId="49" fontId="56" fillId="0" borderId="0" xfId="0" applyNumberFormat="1" applyFont="1" applyAlignment="1">
      <alignment horizontal="right"/>
    </xf>
    <xf numFmtId="0" fontId="55" fillId="0" borderId="0" xfId="5" applyFont="1" applyFill="1"/>
    <xf numFmtId="0" fontId="55" fillId="0" borderId="0" xfId="6" applyFont="1" applyAlignment="1">
      <alignment wrapText="1"/>
    </xf>
    <xf numFmtId="49" fontId="49" fillId="0" borderId="0" xfId="0" applyNumberFormat="1" applyFont="1" applyAlignment="1">
      <alignment horizontal="right"/>
    </xf>
    <xf numFmtId="43" fontId="56" fillId="0" borderId="0" xfId="1" applyFont="1" applyFill="1"/>
    <xf numFmtId="0" fontId="49" fillId="57" borderId="0" xfId="2" applyFont="1" applyFill="1" applyAlignment="1">
      <alignment horizontal="left"/>
    </xf>
    <xf numFmtId="43" fontId="49" fillId="0" borderId="0" xfId="1" applyFont="1" applyFill="1"/>
    <xf numFmtId="1" fontId="49" fillId="57" borderId="0" xfId="2" applyNumberFormat="1" applyFont="1" applyFill="1" applyAlignment="1">
      <alignment horizontal="left"/>
    </xf>
    <xf numFmtId="49" fontId="56" fillId="0" borderId="0" xfId="0" applyNumberFormat="1" applyFont="1" applyFill="1" applyAlignment="1">
      <alignment horizontal="right"/>
    </xf>
    <xf numFmtId="0" fontId="55" fillId="0" borderId="0" xfId="7" applyFont="1" applyFill="1"/>
    <xf numFmtId="43" fontId="49" fillId="0" borderId="0" xfId="1" applyFont="1"/>
    <xf numFmtId="0" fontId="55" fillId="0" borderId="0" xfId="7" applyFont="1"/>
    <xf numFmtId="0" fontId="55" fillId="0" borderId="0" xfId="8" applyFont="1"/>
    <xf numFmtId="49" fontId="55" fillId="0" borderId="0" xfId="0" applyNumberFormat="1" applyFont="1" applyAlignment="1">
      <alignment horizontal="right"/>
    </xf>
    <xf numFmtId="43" fontId="56" fillId="57" borderId="0" xfId="1" applyFont="1" applyFill="1"/>
    <xf numFmtId="0" fontId="49" fillId="58" borderId="0" xfId="0" applyFont="1" applyFill="1"/>
    <xf numFmtId="0" fontId="55" fillId="0" borderId="0" xfId="9" applyFont="1"/>
    <xf numFmtId="14" fontId="56" fillId="0" borderId="0" xfId="0" applyNumberFormat="1" applyFont="1" applyFill="1" applyAlignment="1">
      <alignment horizontal="left"/>
    </xf>
    <xf numFmtId="0" fontId="58" fillId="0" borderId="0" xfId="0" applyFont="1" applyFill="1"/>
    <xf numFmtId="0" fontId="56" fillId="0" borderId="0" xfId="0" applyFont="1" applyFill="1"/>
    <xf numFmtId="49" fontId="49" fillId="0" borderId="0" xfId="0" applyNumberFormat="1" applyFont="1" applyFill="1"/>
    <xf numFmtId="1" fontId="56" fillId="0" borderId="0" xfId="0" applyNumberFormat="1" applyFont="1" applyFill="1" applyAlignment="1">
      <alignment horizontal="left"/>
    </xf>
    <xf numFmtId="0" fontId="49" fillId="0" borderId="20" xfId="10" applyFont="1" applyFill="1" applyBorder="1" applyAlignment="1">
      <alignment horizontal="left"/>
    </xf>
    <xf numFmtId="0" fontId="55" fillId="0" borderId="0" xfId="11" applyFont="1" applyAlignment="1"/>
    <xf numFmtId="0" fontId="55" fillId="0" borderId="0" xfId="11" applyFont="1"/>
    <xf numFmtId="0" fontId="55" fillId="0" borderId="0" xfId="11" applyFont="1" applyFill="1"/>
    <xf numFmtId="0" fontId="49" fillId="0" borderId="0" xfId="11" applyFont="1"/>
    <xf numFmtId="0" fontId="48" fillId="56" borderId="0" xfId="0" applyFont="1" applyFill="1" applyAlignment="1">
      <alignment horizontal="center"/>
    </xf>
    <xf numFmtId="0" fontId="48" fillId="56" borderId="0" xfId="387" applyFont="1" applyFill="1" applyAlignment="1">
      <alignment horizontal="center"/>
    </xf>
    <xf numFmtId="0" fontId="55" fillId="0" borderId="19" xfId="344" applyFont="1" applyFill="1" applyBorder="1" applyAlignment="1">
      <alignment horizontal="right" wrapText="1"/>
    </xf>
    <xf numFmtId="0" fontId="49" fillId="0" borderId="16" xfId="378" applyFont="1" applyFill="1" applyBorder="1" applyAlignment="1">
      <alignment horizontal="right" wrapText="1"/>
    </xf>
    <xf numFmtId="0" fontId="55" fillId="0" borderId="16" xfId="344" applyFont="1" applyFill="1" applyBorder="1" applyAlignment="1">
      <alignment horizontal="right" wrapText="1"/>
    </xf>
    <xf numFmtId="0" fontId="52" fillId="0" borderId="16" xfId="378" applyFont="1" applyFill="1" applyBorder="1" applyAlignment="1">
      <alignment horizontal="right" wrapText="1"/>
    </xf>
    <xf numFmtId="2" fontId="56" fillId="55" borderId="0" xfId="0" applyNumberFormat="1" applyFont="1" applyFill="1" applyAlignment="1">
      <alignment horizontal="left" readingOrder="1"/>
    </xf>
    <xf numFmtId="0" fontId="58" fillId="56" borderId="0" xfId="0" applyFont="1" applyFill="1" applyAlignment="1">
      <alignment horizontal="center"/>
    </xf>
    <xf numFmtId="0" fontId="58" fillId="56" borderId="0" xfId="387" applyFont="1" applyFill="1" applyAlignment="1">
      <alignment horizontal="center"/>
    </xf>
    <xf numFmtId="2" fontId="58" fillId="56" borderId="0" xfId="388" applyNumberFormat="1" applyFont="1" applyFill="1" applyAlignment="1">
      <alignment horizontal="left"/>
    </xf>
    <xf numFmtId="0" fontId="55" fillId="0" borderId="0" xfId="6" applyFont="1"/>
    <xf numFmtId="0" fontId="55" fillId="0" borderId="0" xfId="6" applyFont="1" applyFill="1"/>
    <xf numFmtId="49" fontId="58" fillId="56" borderId="0" xfId="387" applyNumberFormat="1" applyFont="1" applyFill="1" applyAlignment="1">
      <alignment horizontal="left"/>
    </xf>
    <xf numFmtId="0" fontId="58" fillId="56" borderId="0" xfId="387" applyFont="1" applyFill="1" applyAlignment="1">
      <alignment horizontal="left"/>
    </xf>
    <xf numFmtId="165" fontId="58" fillId="56" borderId="0" xfId="387" applyNumberFormat="1" applyFont="1" applyFill="1" applyAlignment="1">
      <alignment horizontal="left"/>
    </xf>
    <xf numFmtId="0" fontId="56" fillId="0" borderId="0" xfId="0" applyFont="1" applyAlignment="1"/>
    <xf numFmtId="2" fontId="48" fillId="56" borderId="0" xfId="388" applyNumberFormat="1" applyFont="1" applyFill="1" applyAlignment="1">
      <alignment horizontal="left"/>
    </xf>
    <xf numFmtId="0" fontId="55" fillId="0" borderId="0" xfId="11" applyFont="1" applyFill="1" applyAlignment="1">
      <alignment horizontal="left"/>
    </xf>
    <xf numFmtId="39" fontId="56" fillId="0" borderId="0" xfId="0" applyNumberFormat="1" applyFont="1"/>
    <xf numFmtId="0" fontId="49" fillId="0" borderId="0" xfId="11" applyFont="1" applyFill="1" applyAlignment="1">
      <alignment horizontal="left"/>
    </xf>
    <xf numFmtId="0" fontId="55" fillId="0" borderId="0" xfId="11" applyFont="1" applyFill="1" applyBorder="1"/>
    <xf numFmtId="0" fontId="60" fillId="0" borderId="0" xfId="11" applyFont="1" applyFill="1" applyAlignment="1">
      <alignment horizontal="left"/>
    </xf>
    <xf numFmtId="43" fontId="55" fillId="0" borderId="0" xfId="13" applyFont="1"/>
    <xf numFmtId="0" fontId="55" fillId="0" borderId="0" xfId="14" applyFont="1"/>
    <xf numFmtId="0" fontId="49" fillId="0" borderId="0" xfId="14" applyFont="1" applyFill="1" applyAlignment="1">
      <alignment horizontal="left"/>
    </xf>
    <xf numFmtId="0" fontId="49" fillId="60" borderId="0" xfId="14" applyFont="1" applyFill="1" applyAlignment="1">
      <alignment horizontal="left"/>
    </xf>
    <xf numFmtId="0" fontId="49" fillId="0" borderId="0" xfId="14" applyFont="1"/>
    <xf numFmtId="14" fontId="56" fillId="55" borderId="0" xfId="0" applyNumberFormat="1" applyFont="1" applyFill="1" applyAlignment="1">
      <alignment horizontal="left"/>
    </xf>
    <xf numFmtId="0" fontId="56" fillId="55" borderId="0" xfId="0" applyFont="1" applyFill="1"/>
    <xf numFmtId="49" fontId="56" fillId="55" borderId="0" xfId="0" applyNumberFormat="1" applyFont="1" applyFill="1"/>
    <xf numFmtId="43" fontId="49" fillId="55" borderId="0" xfId="1" applyFont="1" applyFill="1"/>
    <xf numFmtId="49" fontId="56" fillId="55" borderId="0" xfId="0" applyNumberFormat="1" applyFont="1" applyFill="1" applyAlignment="1">
      <alignment horizontal="right"/>
    </xf>
    <xf numFmtId="43" fontId="55" fillId="0" borderId="0" xfId="16" applyFont="1"/>
    <xf numFmtId="0" fontId="56" fillId="0" borderId="0" xfId="14" applyFont="1" applyFill="1" applyAlignment="1">
      <alignment horizontal="left"/>
    </xf>
    <xf numFmtId="43" fontId="55" fillId="0" borderId="0" xfId="13" applyFont="1" applyFill="1"/>
    <xf numFmtId="43" fontId="55" fillId="0" borderId="0" xfId="19" applyFont="1"/>
    <xf numFmtId="0" fontId="49" fillId="0" borderId="0" xfId="18" applyFont="1" applyFill="1" applyAlignment="1">
      <alignment horizontal="left"/>
    </xf>
    <xf numFmtId="0" fontId="56" fillId="0" borderId="0" xfId="18" applyFont="1" applyFill="1" applyAlignment="1">
      <alignment horizontal="left"/>
    </xf>
    <xf numFmtId="0" fontId="55" fillId="0" borderId="0" xfId="18" applyFont="1" applyFill="1"/>
    <xf numFmtId="0" fontId="49" fillId="0" borderId="0" xfId="20" applyFont="1"/>
    <xf numFmtId="43" fontId="55" fillId="0" borderId="0" xfId="21" applyFont="1"/>
    <xf numFmtId="0" fontId="56" fillId="0" borderId="0" xfId="20" applyFont="1"/>
    <xf numFmtId="0" fontId="56" fillId="0" borderId="0" xfId="20" applyFont="1" applyFill="1" applyAlignment="1">
      <alignment horizontal="left"/>
    </xf>
    <xf numFmtId="43" fontId="55" fillId="0" borderId="0" xfId="122" applyFont="1"/>
    <xf numFmtId="0" fontId="55" fillId="55" borderId="0" xfId="18" quotePrefix="1" applyFont="1" applyFill="1" applyAlignment="1">
      <alignment horizontal="left"/>
    </xf>
    <xf numFmtId="0" fontId="52" fillId="0" borderId="0" xfId="0" applyFont="1"/>
    <xf numFmtId="1" fontId="55" fillId="0" borderId="16" xfId="344" applyNumberFormat="1" applyFont="1" applyFill="1" applyBorder="1" applyAlignment="1">
      <alignment wrapText="1"/>
    </xf>
    <xf numFmtId="14" fontId="55" fillId="0" borderId="16" xfId="344" applyNumberFormat="1" applyFont="1" applyFill="1" applyBorder="1" applyAlignment="1">
      <alignment horizontal="left" wrapText="1"/>
    </xf>
    <xf numFmtId="164" fontId="55" fillId="0" borderId="16" xfId="344" applyNumberFormat="1" applyFont="1" applyFill="1" applyBorder="1" applyAlignment="1">
      <alignment horizontal="right" wrapText="1"/>
    </xf>
    <xf numFmtId="43" fontId="55" fillId="0" borderId="16" xfId="30" applyFont="1" applyFill="1" applyBorder="1" applyAlignment="1">
      <alignment horizontal="right" wrapText="1"/>
    </xf>
    <xf numFmtId="14" fontId="49" fillId="0" borderId="16" xfId="378" applyNumberFormat="1" applyFont="1" applyFill="1" applyBorder="1" applyAlignment="1">
      <alignment horizontal="left" wrapText="1"/>
    </xf>
    <xf numFmtId="1" fontId="49" fillId="0" borderId="16" xfId="378" applyNumberFormat="1" applyFont="1" applyFill="1" applyBorder="1" applyAlignment="1">
      <alignment wrapText="1"/>
    </xf>
    <xf numFmtId="1" fontId="49" fillId="55" borderId="0" xfId="461" applyNumberFormat="1" applyFont="1" applyFill="1" applyAlignment="1">
      <alignment horizontal="left"/>
    </xf>
    <xf numFmtId="0" fontId="56" fillId="0" borderId="0" xfId="15" applyFont="1"/>
    <xf numFmtId="14" fontId="56" fillId="0" borderId="0" xfId="0" applyNumberFormat="1" applyFont="1"/>
    <xf numFmtId="165" fontId="56" fillId="0" borderId="0" xfId="0" applyNumberFormat="1" applyFont="1" applyAlignment="1">
      <alignment horizontal="left"/>
    </xf>
    <xf numFmtId="165" fontId="49" fillId="0" borderId="0" xfId="0" applyNumberFormat="1" applyFont="1" applyAlignment="1">
      <alignment horizontal="left"/>
    </xf>
    <xf numFmtId="165" fontId="52" fillId="0" borderId="0" xfId="0" applyNumberFormat="1" applyFont="1" applyAlignment="1">
      <alignment horizontal="left"/>
    </xf>
    <xf numFmtId="1" fontId="52" fillId="0" borderId="0" xfId="0" applyNumberFormat="1" applyFont="1"/>
    <xf numFmtId="49" fontId="52" fillId="0" borderId="0" xfId="0" applyNumberFormat="1" applyFont="1"/>
    <xf numFmtId="43" fontId="52" fillId="0" borderId="0" xfId="1" applyFont="1"/>
    <xf numFmtId="0" fontId="52" fillId="0" borderId="0" xfId="2" applyFont="1"/>
    <xf numFmtId="0" fontId="52" fillId="0" borderId="0" xfId="2" applyFont="1" applyFill="1"/>
    <xf numFmtId="14" fontId="52" fillId="0" borderId="0" xfId="0" applyNumberFormat="1" applyFont="1" applyAlignment="1">
      <alignment horizontal="left"/>
    </xf>
    <xf numFmtId="0" fontId="59" fillId="0" borderId="0" xfId="0" applyFont="1"/>
    <xf numFmtId="49" fontId="52" fillId="0" borderId="0" xfId="0" applyNumberFormat="1" applyFont="1" applyAlignment="1">
      <alignment horizontal="right"/>
    </xf>
    <xf numFmtId="0" fontId="52" fillId="0" borderId="0" xfId="5" applyFont="1" applyFill="1"/>
    <xf numFmtId="43" fontId="56" fillId="55" borderId="0" xfId="1" applyFont="1" applyFill="1"/>
    <xf numFmtId="0" fontId="52" fillId="57" borderId="0" xfId="2" applyFont="1" applyFill="1" applyAlignment="1">
      <alignment horizontal="left"/>
    </xf>
    <xf numFmtId="43" fontId="52" fillId="0" borderId="0" xfId="1" applyFont="1" applyFill="1"/>
    <xf numFmtId="49" fontId="52" fillId="0" borderId="0" xfId="0" applyNumberFormat="1" applyFont="1" applyFill="1" applyAlignment="1">
      <alignment horizontal="right"/>
    </xf>
    <xf numFmtId="1" fontId="52" fillId="57" borderId="0" xfId="2" applyNumberFormat="1" applyFont="1" applyFill="1" applyAlignment="1">
      <alignment horizontal="left"/>
    </xf>
    <xf numFmtId="0" fontId="52" fillId="0" borderId="0" xfId="7" applyFont="1" applyFill="1" applyAlignment="1">
      <alignment horizontal="left"/>
    </xf>
    <xf numFmtId="0" fontId="52" fillId="0" borderId="0" xfId="7" applyFont="1" applyFill="1"/>
    <xf numFmtId="43" fontId="52" fillId="58" borderId="0" xfId="1" applyFont="1" applyFill="1"/>
    <xf numFmtId="1" fontId="56" fillId="55" borderId="0" xfId="0" applyNumberFormat="1" applyFont="1" applyFill="1"/>
    <xf numFmtId="0" fontId="58" fillId="55" borderId="0" xfId="0" applyFont="1" applyFill="1"/>
    <xf numFmtId="1" fontId="56" fillId="55" borderId="0" xfId="0" applyNumberFormat="1" applyFont="1" applyFill="1" applyAlignment="1">
      <alignment horizontal="left"/>
    </xf>
    <xf numFmtId="14" fontId="52" fillId="55" borderId="0" xfId="0" applyNumberFormat="1" applyFont="1" applyFill="1" applyAlignment="1">
      <alignment horizontal="left"/>
    </xf>
    <xf numFmtId="1" fontId="52" fillId="55" borderId="0" xfId="0" applyNumberFormat="1" applyFont="1" applyFill="1"/>
    <xf numFmtId="1" fontId="52" fillId="55" borderId="0" xfId="0" applyNumberFormat="1" applyFont="1" applyFill="1" applyAlignment="1">
      <alignment horizontal="left"/>
    </xf>
    <xf numFmtId="0" fontId="52" fillId="55" borderId="0" xfId="0" applyFont="1" applyFill="1"/>
    <xf numFmtId="49" fontId="52" fillId="55" borderId="0" xfId="0" applyNumberFormat="1" applyFont="1" applyFill="1"/>
    <xf numFmtId="43" fontId="52" fillId="55" borderId="0" xfId="1" applyFont="1" applyFill="1"/>
    <xf numFmtId="49" fontId="52" fillId="55" borderId="0" xfId="0" applyNumberFormat="1" applyFont="1" applyFill="1" applyAlignment="1">
      <alignment horizontal="right"/>
    </xf>
    <xf numFmtId="0" fontId="56" fillId="0" borderId="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6" fillId="55" borderId="0" xfId="0" applyFont="1" applyFill="1" applyAlignment="1">
      <alignment horizontal="left"/>
    </xf>
    <xf numFmtId="0" fontId="52" fillId="55" borderId="0" xfId="0" applyFont="1" applyFill="1" applyAlignment="1">
      <alignment horizontal="left"/>
    </xf>
    <xf numFmtId="0" fontId="56" fillId="0" borderId="0" xfId="0" applyFont="1" applyFill="1" applyAlignment="1">
      <alignment horizontal="left"/>
    </xf>
    <xf numFmtId="0" fontId="52" fillId="55" borderId="0" xfId="7" applyFont="1" applyFill="1"/>
    <xf numFmtId="0" fontId="55" fillId="55" borderId="0" xfId="7" applyFont="1" applyFill="1"/>
    <xf numFmtId="0" fontId="52" fillId="0" borderId="0" xfId="7" applyFont="1"/>
    <xf numFmtId="0" fontId="52" fillId="0" borderId="0" xfId="8" applyFont="1"/>
    <xf numFmtId="0" fontId="59" fillId="0" borderId="0" xfId="2" applyFont="1"/>
    <xf numFmtId="0" fontId="52" fillId="0" borderId="0" xfId="6" applyFont="1"/>
    <xf numFmtId="0" fontId="55" fillId="0" borderId="20" xfId="9" applyFont="1" applyFill="1" applyBorder="1" applyAlignment="1">
      <alignment horizontal="left"/>
    </xf>
    <xf numFmtId="0" fontId="55" fillId="0" borderId="0" xfId="9" applyFont="1" applyFill="1"/>
    <xf numFmtId="14" fontId="52" fillId="0" borderId="0" xfId="0" applyNumberFormat="1" applyFont="1" applyFill="1" applyAlignment="1">
      <alignment horizontal="left"/>
    </xf>
    <xf numFmtId="1" fontId="52" fillId="0" borderId="0" xfId="0" applyNumberFormat="1" applyFont="1" applyFill="1"/>
    <xf numFmtId="1" fontId="52" fillId="0" borderId="0" xfId="9" applyNumberFormat="1" applyFont="1" applyFill="1" applyAlignment="1">
      <alignment horizontal="left"/>
    </xf>
    <xf numFmtId="0" fontId="52" fillId="0" borderId="0" xfId="0" applyFont="1" applyFill="1" applyAlignment="1">
      <alignment horizontal="left"/>
    </xf>
    <xf numFmtId="49" fontId="52" fillId="0" borderId="0" xfId="0" applyNumberFormat="1" applyFont="1" applyFill="1"/>
    <xf numFmtId="0" fontId="52" fillId="0" borderId="0" xfId="0" applyFont="1" applyFill="1"/>
    <xf numFmtId="1" fontId="52" fillId="0" borderId="0" xfId="0" applyNumberFormat="1" applyFont="1" applyFill="1" applyAlignment="1">
      <alignment horizontal="left"/>
    </xf>
    <xf numFmtId="0" fontId="52" fillId="0" borderId="0" xfId="9" applyFont="1"/>
    <xf numFmtId="0" fontId="52" fillId="0" borderId="0" xfId="9" applyFont="1" applyFill="1"/>
    <xf numFmtId="0" fontId="49" fillId="0" borderId="0" xfId="9" applyFont="1" applyFill="1"/>
    <xf numFmtId="0" fontId="49" fillId="0" borderId="0" xfId="10" applyFont="1" applyFill="1" applyBorder="1" applyAlignment="1">
      <alignment horizontal="left"/>
    </xf>
    <xf numFmtId="0" fontId="52" fillId="57" borderId="0" xfId="12" applyFont="1" applyFill="1"/>
    <xf numFmtId="0" fontId="52" fillId="57" borderId="0" xfId="11" applyFont="1" applyFill="1"/>
    <xf numFmtId="0" fontId="52" fillId="0" borderId="0" xfId="11" applyFont="1"/>
    <xf numFmtId="0" fontId="52" fillId="0" borderId="0" xfId="11" applyFont="1" applyFill="1" applyAlignment="1">
      <alignment horizontal="left"/>
    </xf>
    <xf numFmtId="39" fontId="52" fillId="0" borderId="0" xfId="0" applyNumberFormat="1" applyFont="1"/>
    <xf numFmtId="0" fontId="52" fillId="0" borderId="0" xfId="2" applyFont="1" applyFill="1" applyAlignment="1">
      <alignment horizontal="left"/>
    </xf>
    <xf numFmtId="0" fontId="52" fillId="0" borderId="0" xfId="11" applyFont="1" applyFill="1" applyBorder="1"/>
    <xf numFmtId="0" fontId="52" fillId="57" borderId="0" xfId="11" applyFont="1" applyFill="1" applyAlignment="1">
      <alignment horizontal="left"/>
    </xf>
    <xf numFmtId="0" fontId="58" fillId="0" borderId="0" xfId="2" applyFont="1"/>
    <xf numFmtId="0" fontId="49" fillId="0" borderId="0" xfId="2" applyFont="1"/>
    <xf numFmtId="0" fontId="49" fillId="0" borderId="0" xfId="11" applyFont="1" applyFill="1" applyBorder="1"/>
    <xf numFmtId="0" fontId="52" fillId="0" borderId="0" xfId="29" applyFont="1" applyFill="1" applyAlignment="1">
      <alignment horizontal="left"/>
    </xf>
    <xf numFmtId="43" fontId="52" fillId="0" borderId="0" xfId="13" applyFont="1"/>
    <xf numFmtId="0" fontId="52" fillId="0" borderId="0" xfId="14" applyFont="1" applyFill="1" applyAlignment="1">
      <alignment horizontal="left"/>
    </xf>
    <xf numFmtId="0" fontId="52" fillId="0" borderId="0" xfId="0" applyFont="1" applyAlignment="1">
      <alignment wrapText="1"/>
    </xf>
    <xf numFmtId="165" fontId="52" fillId="59" borderId="0" xfId="0" applyNumberFormat="1" applyFont="1" applyFill="1" applyAlignment="1">
      <alignment horizontal="left"/>
    </xf>
    <xf numFmtId="1" fontId="52" fillId="59" borderId="0" xfId="0" applyNumberFormat="1" applyFont="1" applyFill="1"/>
    <xf numFmtId="0" fontId="52" fillId="59" borderId="0" xfId="14" applyFont="1" applyFill="1" applyAlignment="1">
      <alignment horizontal="left"/>
    </xf>
    <xf numFmtId="0" fontId="52" fillId="59" borderId="0" xfId="0" applyFont="1" applyFill="1" applyAlignment="1">
      <alignment horizontal="left"/>
    </xf>
    <xf numFmtId="49" fontId="52" fillId="59" borderId="0" xfId="0" applyNumberFormat="1" applyFont="1" applyFill="1"/>
    <xf numFmtId="43" fontId="52" fillId="59" borderId="0" xfId="1" applyFont="1" applyFill="1"/>
    <xf numFmtId="49" fontId="52" fillId="59" borderId="0" xfId="0" applyNumberFormat="1" applyFont="1" applyFill="1" applyAlignment="1">
      <alignment horizontal="right"/>
    </xf>
    <xf numFmtId="0" fontId="52" fillId="59" borderId="0" xfId="0" applyFont="1" applyFill="1"/>
    <xf numFmtId="43" fontId="52" fillId="59" borderId="0" xfId="13" applyFont="1" applyFill="1"/>
    <xf numFmtId="0" fontId="52" fillId="55" borderId="0" xfId="14" applyFont="1" applyFill="1" applyAlignment="1">
      <alignment horizontal="left"/>
    </xf>
    <xf numFmtId="0" fontId="52" fillId="60" borderId="0" xfId="14" applyFont="1" applyFill="1" applyAlignment="1">
      <alignment horizontal="left"/>
    </xf>
    <xf numFmtId="165" fontId="52" fillId="55" borderId="0" xfId="0" applyNumberFormat="1" applyFont="1" applyFill="1" applyAlignment="1">
      <alignment horizontal="left"/>
    </xf>
    <xf numFmtId="43" fontId="52" fillId="55" borderId="0" xfId="13" applyFont="1" applyFill="1"/>
    <xf numFmtId="43" fontId="52" fillId="0" borderId="0" xfId="16" applyFont="1"/>
    <xf numFmtId="43" fontId="52" fillId="0" borderId="0" xfId="13" applyFont="1" applyFill="1"/>
    <xf numFmtId="0" fontId="52" fillId="0" borderId="0" xfId="18" quotePrefix="1" applyFont="1" applyFill="1" applyAlignment="1">
      <alignment horizontal="left"/>
    </xf>
    <xf numFmtId="0" fontId="52" fillId="0" borderId="0" xfId="18" applyFont="1"/>
    <xf numFmtId="0" fontId="52" fillId="0" borderId="0" xfId="18" applyFont="1" applyFill="1" applyAlignment="1">
      <alignment horizontal="left"/>
    </xf>
    <xf numFmtId="43" fontId="52" fillId="0" borderId="0" xfId="19" applyFont="1"/>
    <xf numFmtId="49" fontId="52" fillId="0" borderId="0" xfId="0" applyNumberFormat="1" applyFont="1" applyAlignment="1">
      <alignment horizontal="left"/>
    </xf>
    <xf numFmtId="0" fontId="52" fillId="0" borderId="0" xfId="18" applyFont="1" applyFill="1"/>
    <xf numFmtId="39" fontId="52" fillId="0" borderId="0" xfId="0" applyNumberFormat="1" applyFont="1" applyFill="1"/>
    <xf numFmtId="49" fontId="52" fillId="0" borderId="0" xfId="0" quotePrefix="1" applyNumberFormat="1" applyFont="1"/>
    <xf numFmtId="39" fontId="52" fillId="55" borderId="0" xfId="0" applyNumberFormat="1" applyFont="1" applyFill="1"/>
    <xf numFmtId="0" fontId="52" fillId="0" borderId="0" xfId="20" applyFont="1"/>
    <xf numFmtId="0" fontId="58" fillId="0" borderId="0" xfId="38" applyFont="1"/>
    <xf numFmtId="43" fontId="52" fillId="0" borderId="0" xfId="122" applyFont="1"/>
    <xf numFmtId="0" fontId="52" fillId="0" borderId="0" xfId="345" applyFont="1" applyFill="1" applyBorder="1" applyAlignment="1">
      <alignment horizontal="left" wrapText="1"/>
    </xf>
    <xf numFmtId="14" fontId="52" fillId="0" borderId="16" xfId="378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wrapText="1"/>
    </xf>
    <xf numFmtId="0" fontId="52" fillId="0" borderId="0" xfId="4" applyFont="1"/>
    <xf numFmtId="43" fontId="42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Alignment="1">
      <alignment horizontal="left"/>
    </xf>
    <xf numFmtId="0" fontId="43" fillId="0" borderId="16" xfId="378" applyFont="1" applyFill="1" applyBorder="1" applyAlignment="1">
      <alignment horizontal="left" wrapText="1"/>
    </xf>
    <xf numFmtId="0" fontId="49" fillId="0" borderId="0" xfId="480" applyFont="1" applyFill="1" applyAlignment="1">
      <alignment horizontal="left"/>
    </xf>
    <xf numFmtId="0" fontId="43" fillId="0" borderId="16" xfId="345" applyFont="1" applyFill="1" applyBorder="1" applyAlignment="1">
      <alignment horizontal="left" wrapText="1"/>
    </xf>
    <xf numFmtId="1" fontId="62" fillId="0" borderId="0" xfId="0" applyNumberFormat="1" applyFont="1" applyAlignment="1">
      <alignment horizontal="left"/>
    </xf>
    <xf numFmtId="0" fontId="62" fillId="0" borderId="0" xfId="0" applyFont="1" applyFill="1" applyBorder="1"/>
    <xf numFmtId="166" fontId="62" fillId="0" borderId="0" xfId="0" applyNumberFormat="1" applyFont="1" applyAlignment="1">
      <alignment horizontal="left"/>
    </xf>
    <xf numFmtId="0" fontId="63" fillId="0" borderId="0" xfId="0" applyFont="1"/>
    <xf numFmtId="0" fontId="62" fillId="0" borderId="0" xfId="0" applyFont="1"/>
    <xf numFmtId="165" fontId="49" fillId="0" borderId="16" xfId="378" applyNumberFormat="1" applyFont="1" applyFill="1" applyBorder="1" applyAlignment="1">
      <alignment horizontal="left" wrapText="1"/>
    </xf>
    <xf numFmtId="165" fontId="55" fillId="0" borderId="16" xfId="344" applyNumberFormat="1" applyFont="1" applyFill="1" applyBorder="1" applyAlignment="1">
      <alignment horizontal="left" wrapText="1"/>
    </xf>
    <xf numFmtId="165" fontId="49" fillId="0" borderId="16" xfId="345" applyNumberFormat="1" applyFont="1" applyFill="1" applyBorder="1" applyAlignment="1">
      <alignment horizontal="left" wrapText="1"/>
    </xf>
    <xf numFmtId="0" fontId="62" fillId="0" borderId="0" xfId="0" applyFont="1" applyFill="1"/>
    <xf numFmtId="0" fontId="42" fillId="0" borderId="0" xfId="0" applyFont="1" applyFill="1"/>
    <xf numFmtId="0" fontId="49" fillId="0" borderId="16" xfId="344" applyFont="1" applyFill="1" applyBorder="1" applyAlignment="1">
      <alignment wrapText="1"/>
    </xf>
    <xf numFmtId="0" fontId="49" fillId="0" borderId="16" xfId="378" applyFont="1" applyFill="1" applyBorder="1" applyAlignment="1">
      <alignment wrapText="1"/>
    </xf>
    <xf numFmtId="0" fontId="49" fillId="0" borderId="16" xfId="344" applyFont="1" applyFill="1" applyBorder="1" applyAlignment="1">
      <alignment horizontal="left" wrapText="1"/>
    </xf>
    <xf numFmtId="43" fontId="49" fillId="0" borderId="0" xfId="16" applyFont="1" applyFill="1"/>
    <xf numFmtId="0" fontId="55" fillId="0" borderId="16" xfId="344" applyFont="1" applyFill="1" applyBorder="1" applyAlignment="1">
      <alignment wrapText="1"/>
    </xf>
    <xf numFmtId="0" fontId="55" fillId="0" borderId="16" xfId="378" applyFont="1" applyFill="1" applyBorder="1" applyAlignment="1">
      <alignment wrapText="1"/>
    </xf>
    <xf numFmtId="0" fontId="64" fillId="0" borderId="0" xfId="0" applyFont="1"/>
    <xf numFmtId="0" fontId="14" fillId="0" borderId="0" xfId="0" applyFont="1"/>
    <xf numFmtId="0" fontId="19" fillId="0" borderId="0" xfId="4"/>
    <xf numFmtId="166" fontId="55" fillId="0" borderId="16" xfId="344" applyNumberFormat="1" applyFont="1" applyFill="1" applyBorder="1" applyAlignment="1">
      <alignment horizontal="left" wrapText="1"/>
    </xf>
    <xf numFmtId="166" fontId="49" fillId="0" borderId="0" xfId="378" applyNumberFormat="1" applyFont="1" applyFill="1" applyBorder="1" applyAlignment="1">
      <alignment horizontal="left" wrapText="1"/>
    </xf>
    <xf numFmtId="1" fontId="49" fillId="0" borderId="0" xfId="4" applyNumberFormat="1" applyFont="1" applyFill="1" applyAlignment="1">
      <alignment horizontal="left"/>
    </xf>
    <xf numFmtId="0" fontId="49" fillId="0" borderId="16" xfId="4" applyFont="1" applyFill="1" applyBorder="1" applyAlignment="1">
      <alignment horizontal="left"/>
    </xf>
    <xf numFmtId="0" fontId="14" fillId="0" borderId="0" xfId="0" applyFont="1" applyAlignment="1">
      <alignment horizontal="left"/>
    </xf>
    <xf numFmtId="166" fontId="49" fillId="0" borderId="16" xfId="378" applyNumberFormat="1" applyFont="1" applyFill="1" applyBorder="1" applyAlignment="1">
      <alignment horizontal="left" wrapText="1"/>
    </xf>
    <xf numFmtId="165" fontId="56" fillId="0" borderId="0" xfId="0" applyNumberFormat="1" applyFont="1" applyFill="1" applyBorder="1" applyAlignment="1">
      <alignment horizontal="left"/>
    </xf>
    <xf numFmtId="164" fontId="49" fillId="0" borderId="19" xfId="344" applyNumberFormat="1" applyFont="1" applyFill="1" applyBorder="1" applyAlignment="1">
      <alignment horizontal="left" wrapText="1"/>
    </xf>
    <xf numFmtId="0" fontId="55" fillId="0" borderId="16" xfId="4" applyFont="1" applyFill="1" applyBorder="1" applyAlignment="1">
      <alignment wrapText="1"/>
    </xf>
    <xf numFmtId="0" fontId="55" fillId="0" borderId="16" xfId="4" applyFont="1" applyFill="1" applyBorder="1" applyAlignment="1">
      <alignment horizontal="left" wrapText="1"/>
    </xf>
    <xf numFmtId="0" fontId="55" fillId="0" borderId="0" xfId="4" applyFont="1" applyFill="1"/>
    <xf numFmtId="0" fontId="19" fillId="0" borderId="0" xfId="4"/>
    <xf numFmtId="0" fontId="49" fillId="0" borderId="0" xfId="4" applyFont="1" applyFill="1" applyBorder="1" applyAlignment="1">
      <alignment horizontal="left"/>
    </xf>
    <xf numFmtId="0" fontId="49" fillId="0" borderId="0" xfId="344" applyFont="1" applyFill="1" applyBorder="1" applyAlignment="1">
      <alignment horizontal="left" wrapText="1"/>
    </xf>
    <xf numFmtId="1" fontId="56" fillId="0" borderId="0" xfId="0" applyNumberFormat="1" applyFont="1" applyAlignment="1">
      <alignment horizontal="left" wrapText="1"/>
    </xf>
    <xf numFmtId="0" fontId="49" fillId="0" borderId="0" xfId="513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9" fillId="0" borderId="0" xfId="4"/>
    <xf numFmtId="0" fontId="19" fillId="0" borderId="0" xfId="4"/>
    <xf numFmtId="0" fontId="19" fillId="0" borderId="0" xfId="4"/>
    <xf numFmtId="0" fontId="49" fillId="0" borderId="0" xfId="513" applyFont="1"/>
    <xf numFmtId="43" fontId="49" fillId="0" borderId="0" xfId="484" applyFont="1"/>
    <xf numFmtId="0" fontId="61" fillId="0" borderId="0" xfId="513"/>
    <xf numFmtId="166" fontId="49" fillId="0" borderId="16" xfId="344" applyNumberFormat="1" applyFont="1" applyFill="1" applyBorder="1" applyAlignment="1">
      <alignment horizontal="left" wrapText="1"/>
    </xf>
    <xf numFmtId="166" fontId="49" fillId="0" borderId="0" xfId="344" applyNumberFormat="1" applyFont="1" applyFill="1" applyBorder="1" applyAlignment="1">
      <alignment horizontal="left" wrapText="1"/>
    </xf>
    <xf numFmtId="164" fontId="49" fillId="0" borderId="0" xfId="344" applyNumberFormat="1" applyFont="1" applyFill="1" applyBorder="1" applyAlignment="1">
      <alignment horizontal="left" wrapText="1"/>
    </xf>
    <xf numFmtId="0" fontId="50" fillId="0" borderId="0" xfId="344" applyFont="1" applyFill="1" applyBorder="1" applyAlignment="1">
      <alignment horizontal="left" wrapText="1"/>
    </xf>
    <xf numFmtId="0" fontId="50" fillId="0" borderId="16" xfId="344" applyFont="1" applyFill="1" applyBorder="1" applyAlignment="1">
      <alignment horizontal="left" wrapText="1"/>
    </xf>
    <xf numFmtId="0" fontId="50" fillId="0" borderId="16" xfId="378" applyFont="1" applyFill="1" applyBorder="1" applyAlignment="1">
      <alignment horizontal="left" wrapText="1"/>
    </xf>
    <xf numFmtId="14" fontId="49" fillId="0" borderId="0" xfId="0" applyNumberFormat="1" applyFont="1" applyFill="1"/>
    <xf numFmtId="166" fontId="62" fillId="0" borderId="0" xfId="0" applyNumberFormat="1" applyFont="1" applyFill="1" applyAlignment="1">
      <alignment horizontal="left"/>
    </xf>
    <xf numFmtId="0" fontId="49" fillId="0" borderId="0" xfId="378" applyFont="1" applyFill="1" applyBorder="1" applyAlignment="1">
      <alignment horizontal="left" wrapText="1"/>
    </xf>
    <xf numFmtId="0" fontId="50" fillId="0" borderId="0" xfId="378" applyFont="1" applyFill="1" applyBorder="1" applyAlignment="1">
      <alignment horizontal="left" wrapText="1"/>
    </xf>
    <xf numFmtId="14" fontId="48" fillId="0" borderId="0" xfId="387" applyNumberFormat="1" applyFont="1" applyFill="1" applyAlignment="1">
      <alignment horizontal="left"/>
    </xf>
    <xf numFmtId="0" fontId="48" fillId="0" borderId="0" xfId="387" applyFont="1" applyFill="1" applyAlignment="1">
      <alignment horizontal="left"/>
    </xf>
    <xf numFmtId="1" fontId="58" fillId="0" borderId="0" xfId="387" applyNumberFormat="1" applyFont="1" applyFill="1" applyAlignment="1">
      <alignment horizontal="left"/>
    </xf>
    <xf numFmtId="49" fontId="48" fillId="0" borderId="0" xfId="387" applyNumberFormat="1" applyFont="1" applyFill="1" applyAlignment="1">
      <alignment horizontal="left"/>
    </xf>
    <xf numFmtId="43" fontId="48" fillId="0" borderId="0" xfId="388" applyFont="1" applyFill="1" applyAlignment="1">
      <alignment horizontal="left"/>
    </xf>
    <xf numFmtId="0" fontId="48" fillId="0" borderId="0" xfId="387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left"/>
    </xf>
    <xf numFmtId="166" fontId="49" fillId="0" borderId="0" xfId="0" applyNumberFormat="1" applyFont="1" applyFill="1" applyAlignment="1">
      <alignment horizontal="left"/>
    </xf>
    <xf numFmtId="0" fontId="49" fillId="0" borderId="0" xfId="0" quotePrefix="1" applyFont="1" applyFill="1" applyAlignment="1">
      <alignment horizontal="left"/>
    </xf>
    <xf numFmtId="0" fontId="46" fillId="0" borderId="0" xfId="0" quotePrefix="1" applyFont="1" applyFill="1" applyAlignment="1">
      <alignment horizontal="left"/>
    </xf>
    <xf numFmtId="0" fontId="46" fillId="0" borderId="0" xfId="0" applyFont="1" applyFill="1"/>
    <xf numFmtId="0" fontId="42" fillId="0" borderId="0" xfId="0" applyFont="1" applyFill="1" applyAlignment="1">
      <alignment horizontal="left"/>
    </xf>
    <xf numFmtId="166" fontId="49" fillId="0" borderId="0" xfId="0" applyNumberFormat="1" applyFont="1" applyFill="1" applyBorder="1" applyAlignment="1">
      <alignment horizontal="left"/>
    </xf>
    <xf numFmtId="166" fontId="49" fillId="0" borderId="16" xfId="0" applyNumberFormat="1" applyFont="1" applyFill="1" applyBorder="1" applyAlignment="1">
      <alignment horizontal="left"/>
    </xf>
    <xf numFmtId="1" fontId="49" fillId="0" borderId="0" xfId="0" applyNumberFormat="1" applyFont="1" applyFill="1" applyAlignment="1">
      <alignment horizontal="left"/>
    </xf>
    <xf numFmtId="1" fontId="62" fillId="0" borderId="0" xfId="0" applyNumberFormat="1" applyFont="1" applyFill="1" applyAlignment="1">
      <alignment horizontal="left"/>
    </xf>
    <xf numFmtId="14" fontId="50" fillId="0" borderId="0" xfId="0" applyNumberFormat="1" applyFont="1" applyFill="1"/>
    <xf numFmtId="43" fontId="49" fillId="0" borderId="0" xfId="1" applyFont="1" applyFill="1" applyAlignment="1">
      <alignment horizontal="left"/>
    </xf>
    <xf numFmtId="0" fontId="42" fillId="0" borderId="0" xfId="0" quotePrefix="1" applyFont="1" applyAlignment="1">
      <alignment horizontal="left"/>
    </xf>
    <xf numFmtId="0" fontId="49" fillId="0" borderId="0" xfId="513" applyFont="1" applyFill="1"/>
    <xf numFmtId="1" fontId="63" fillId="0" borderId="0" xfId="0" applyNumberFormat="1" applyFont="1" applyAlignment="1">
      <alignment horizontal="left"/>
    </xf>
    <xf numFmtId="165" fontId="64" fillId="0" borderId="16" xfId="345" applyNumberFormat="1" applyFont="1" applyFill="1" applyBorder="1" applyAlignment="1">
      <alignment horizontal="left" wrapText="1"/>
    </xf>
    <xf numFmtId="0" fontId="14" fillId="0" borderId="16" xfId="345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left" wrapText="1"/>
    </xf>
    <xf numFmtId="0" fontId="64" fillId="0" borderId="16" xfId="378" applyFont="1" applyFill="1" applyBorder="1" applyAlignment="1">
      <alignment horizontal="left" wrapText="1"/>
    </xf>
    <xf numFmtId="165" fontId="62" fillId="0" borderId="16" xfId="345" applyNumberFormat="1" applyFont="1" applyFill="1" applyBorder="1" applyAlignment="1">
      <alignment horizontal="left" wrapText="1"/>
    </xf>
    <xf numFmtId="0" fontId="14" fillId="0" borderId="0" xfId="279" applyFont="1" applyFill="1" applyBorder="1" applyAlignment="1">
      <alignment horizontal="left"/>
    </xf>
    <xf numFmtId="2" fontId="63" fillId="0" borderId="0" xfId="0" applyNumberFormat="1" applyFont="1" applyAlignment="1">
      <alignment horizontal="left" readingOrder="1"/>
    </xf>
    <xf numFmtId="165" fontId="66" fillId="56" borderId="0" xfId="387" applyNumberFormat="1" applyFont="1" applyFill="1" applyAlignment="1"/>
    <xf numFmtId="0" fontId="62" fillId="56" borderId="0" xfId="0" applyFont="1" applyFill="1" applyAlignment="1">
      <alignment horizontal="left"/>
    </xf>
    <xf numFmtId="0" fontId="69" fillId="0" borderId="16" xfId="344" applyFont="1" applyFill="1" applyBorder="1" applyAlignment="1">
      <alignment wrapText="1"/>
    </xf>
    <xf numFmtId="43" fontId="62" fillId="0" borderId="0" xfId="484" applyFont="1"/>
    <xf numFmtId="0" fontId="69" fillId="0" borderId="0" xfId="513" applyFont="1"/>
    <xf numFmtId="0" fontId="62" fillId="0" borderId="0" xfId="513" applyFont="1"/>
    <xf numFmtId="0" fontId="1" fillId="55" borderId="0" xfId="0" applyFont="1" applyFill="1"/>
    <xf numFmtId="0" fontId="42" fillId="55" borderId="0" xfId="0" applyFont="1" applyFill="1"/>
    <xf numFmtId="1" fontId="62" fillId="0" borderId="0" xfId="513" applyNumberFormat="1" applyFont="1" applyFill="1" applyAlignment="1">
      <alignment horizontal="left"/>
    </xf>
    <xf numFmtId="0" fontId="1" fillId="0" borderId="0" xfId="0" applyFont="1" applyFill="1"/>
    <xf numFmtId="14" fontId="62" fillId="0" borderId="0" xfId="0" applyNumberFormat="1" applyFont="1" applyFill="1"/>
    <xf numFmtId="0" fontId="1" fillId="56" borderId="0" xfId="0" applyFont="1" applyFill="1"/>
    <xf numFmtId="0" fontId="42" fillId="56" borderId="0" xfId="0" applyFont="1" applyFill="1" applyAlignment="1">
      <alignment horizontal="left"/>
    </xf>
    <xf numFmtId="0" fontId="69" fillId="56" borderId="0" xfId="4" applyFont="1" applyFill="1" applyAlignment="1">
      <alignment horizontal="left"/>
    </xf>
    <xf numFmtId="0" fontId="42" fillId="56" borderId="0" xfId="0" applyFont="1" applyFill="1"/>
    <xf numFmtId="0" fontId="62" fillId="56" borderId="0" xfId="0" applyFont="1" applyFill="1"/>
    <xf numFmtId="14" fontId="62" fillId="56" borderId="0" xfId="0" applyNumberFormat="1" applyFont="1" applyFill="1"/>
    <xf numFmtId="167" fontId="64" fillId="0" borderId="0" xfId="0" applyNumberFormat="1" applyFont="1" applyAlignment="1">
      <alignment horizontal="left"/>
    </xf>
    <xf numFmtId="0" fontId="64" fillId="55" borderId="0" xfId="513" applyFont="1" applyFill="1"/>
    <xf numFmtId="1" fontId="64" fillId="0" borderId="0" xfId="513" applyNumberFormat="1" applyFont="1" applyFill="1" applyAlignment="1">
      <alignment horizontal="left"/>
    </xf>
    <xf numFmtId="0" fontId="62" fillId="55" borderId="0" xfId="0" applyFont="1" applyFill="1" applyAlignment="1">
      <alignment horizontal="left"/>
    </xf>
    <xf numFmtId="0" fontId="62" fillId="0" borderId="0" xfId="513" applyFont="1" applyFill="1" applyAlignment="1">
      <alignment horizontal="left"/>
    </xf>
    <xf numFmtId="0" fontId="64" fillId="55" borderId="0" xfId="0" applyFont="1" applyFill="1" applyAlignment="1">
      <alignment horizontal="left"/>
    </xf>
    <xf numFmtId="0" fontId="64" fillId="0" borderId="0" xfId="513" applyFont="1" applyFill="1" applyAlignment="1">
      <alignment horizontal="left"/>
    </xf>
    <xf numFmtId="0" fontId="64" fillId="0" borderId="0" xfId="513" applyFont="1"/>
    <xf numFmtId="1" fontId="64" fillId="0" borderId="0" xfId="4" applyNumberFormat="1" applyFont="1" applyFill="1" applyAlignment="1">
      <alignment horizontal="left"/>
    </xf>
    <xf numFmtId="0" fontId="62" fillId="0" borderId="0" xfId="0" applyFont="1" applyFill="1" applyAlignment="1">
      <alignment horizontal="left"/>
    </xf>
    <xf numFmtId="165" fontId="62" fillId="55" borderId="0" xfId="0" applyNumberFormat="1" applyFont="1" applyFill="1" applyAlignment="1">
      <alignment horizontal="left"/>
    </xf>
    <xf numFmtId="0" fontId="62" fillId="61" borderId="0" xfId="4" applyFont="1" applyFill="1"/>
    <xf numFmtId="0" fontId="42" fillId="61" borderId="0" xfId="0" applyFont="1" applyFill="1" applyAlignment="1">
      <alignment horizontal="left"/>
    </xf>
    <xf numFmtId="2" fontId="62" fillId="61" borderId="0" xfId="0" applyNumberFormat="1" applyFont="1" applyFill="1" applyAlignment="1">
      <alignment horizontal="left"/>
    </xf>
    <xf numFmtId="0" fontId="62" fillId="61" borderId="0" xfId="513" applyFont="1" applyFill="1" applyAlignment="1">
      <alignment horizontal="left"/>
    </xf>
    <xf numFmtId="165" fontId="62" fillId="61" borderId="0" xfId="0" applyNumberFormat="1" applyFont="1" applyFill="1" applyAlignment="1">
      <alignment horizontal="left"/>
    </xf>
    <xf numFmtId="0" fontId="64" fillId="0" borderId="0" xfId="0" applyFont="1" applyFill="1" applyAlignment="1">
      <alignment horizontal="left"/>
    </xf>
    <xf numFmtId="1" fontId="63" fillId="0" borderId="0" xfId="0" applyNumberFormat="1" applyFont="1" applyAlignment="1">
      <alignment horizontal="left" wrapText="1"/>
    </xf>
    <xf numFmtId="2" fontId="42" fillId="61" borderId="0" xfId="0" applyNumberFormat="1" applyFont="1" applyFill="1" applyAlignment="1">
      <alignment horizontal="left" readingOrder="1"/>
    </xf>
    <xf numFmtId="0" fontId="62" fillId="61" borderId="0" xfId="0" applyFont="1" applyFill="1" applyAlignment="1">
      <alignment horizontal="left"/>
    </xf>
    <xf numFmtId="0" fontId="62" fillId="61" borderId="0" xfId="480" applyFont="1" applyFill="1" applyAlignment="1">
      <alignment horizontal="left"/>
    </xf>
    <xf numFmtId="0" fontId="42" fillId="61" borderId="0" xfId="0" applyFont="1" applyFill="1"/>
    <xf numFmtId="0" fontId="62" fillId="61" borderId="0" xfId="0" applyFont="1" applyFill="1"/>
    <xf numFmtId="14" fontId="62" fillId="61" borderId="0" xfId="0" applyNumberFormat="1" applyFont="1" applyFill="1"/>
    <xf numFmtId="0" fontId="63" fillId="0" borderId="0" xfId="15" applyFont="1"/>
    <xf numFmtId="0" fontId="14" fillId="55" borderId="0" xfId="0" applyFont="1" applyFill="1"/>
    <xf numFmtId="0" fontId="64" fillId="55" borderId="0" xfId="4" applyFont="1" applyFill="1"/>
    <xf numFmtId="0" fontId="69" fillId="55" borderId="0" xfId="4" applyFont="1" applyFill="1"/>
    <xf numFmtId="0" fontId="62" fillId="0" borderId="19" xfId="344" applyFont="1" applyFill="1" applyBorder="1" applyAlignment="1">
      <alignment horizontal="left" wrapText="1"/>
    </xf>
    <xf numFmtId="0" fontId="62" fillId="55" borderId="0" xfId="480" applyFont="1" applyFill="1" applyAlignment="1">
      <alignment horizontal="left"/>
    </xf>
    <xf numFmtId="1" fontId="64" fillId="55" borderId="0" xfId="480" applyNumberFormat="1" applyFont="1" applyFill="1" applyAlignment="1">
      <alignment horizontal="left"/>
    </xf>
    <xf numFmtId="0" fontId="64" fillId="55" borderId="0" xfId="480" applyFont="1" applyFill="1" applyAlignment="1">
      <alignment horizontal="left"/>
    </xf>
    <xf numFmtId="165" fontId="64" fillId="0" borderId="0" xfId="0" applyNumberFormat="1" applyFont="1" applyFill="1" applyBorder="1" applyAlignment="1">
      <alignment horizontal="left"/>
    </xf>
    <xf numFmtId="165" fontId="63" fillId="0" borderId="0" xfId="0" applyNumberFormat="1" applyFont="1" applyFill="1" applyBorder="1" applyAlignment="1">
      <alignment horizontal="left"/>
    </xf>
    <xf numFmtId="0" fontId="69" fillId="0" borderId="16" xfId="4" applyFont="1" applyFill="1" applyBorder="1" applyAlignment="1">
      <alignment horizontal="left" wrapText="1"/>
    </xf>
    <xf numFmtId="0" fontId="69" fillId="0" borderId="16" xfId="4" applyFont="1" applyFill="1" applyBorder="1" applyAlignment="1">
      <alignment wrapText="1"/>
    </xf>
    <xf numFmtId="0" fontId="69" fillId="0" borderId="0" xfId="4" applyFont="1" applyFill="1"/>
    <xf numFmtId="166" fontId="62" fillId="0" borderId="16" xfId="378" applyNumberFormat="1" applyFont="1" applyFill="1" applyBorder="1" applyAlignment="1">
      <alignment horizontal="left" wrapText="1"/>
    </xf>
    <xf numFmtId="0" fontId="42" fillId="0" borderId="16" xfId="378" applyFont="1" applyFill="1" applyBorder="1" applyAlignment="1">
      <alignment horizontal="left" wrapText="1"/>
    </xf>
    <xf numFmtId="43" fontId="69" fillId="0" borderId="0" xfId="16" applyFont="1"/>
    <xf numFmtId="164" fontId="62" fillId="0" borderId="19" xfId="344" applyNumberFormat="1" applyFont="1" applyFill="1" applyBorder="1" applyAlignment="1">
      <alignment horizontal="left" wrapText="1"/>
    </xf>
    <xf numFmtId="164" fontId="62" fillId="0" borderId="16" xfId="344" applyNumberFormat="1" applyFont="1" applyFill="1" applyBorder="1" applyAlignment="1">
      <alignment horizontal="left" wrapText="1"/>
    </xf>
    <xf numFmtId="0" fontId="64" fillId="0" borderId="16" xfId="0" applyFont="1" applyBorder="1"/>
    <xf numFmtId="166" fontId="64" fillId="0" borderId="16" xfId="378" applyNumberFormat="1" applyFont="1" applyFill="1" applyBorder="1" applyAlignment="1">
      <alignment horizontal="left" wrapText="1"/>
    </xf>
    <xf numFmtId="0" fontId="64" fillId="0" borderId="0" xfId="378" applyFont="1" applyFill="1" applyBorder="1" applyAlignment="1">
      <alignment wrapText="1"/>
    </xf>
    <xf numFmtId="0" fontId="64" fillId="0" borderId="0" xfId="0" applyFont="1" applyFill="1" applyBorder="1"/>
    <xf numFmtId="0" fontId="14" fillId="0" borderId="16" xfId="344" applyFont="1" applyFill="1" applyBorder="1" applyAlignment="1">
      <alignment horizontal="left" wrapText="1"/>
    </xf>
    <xf numFmtId="0" fontId="14" fillId="0" borderId="16" xfId="344" applyFont="1" applyFill="1" applyBorder="1" applyAlignment="1">
      <alignment horizontal="right" wrapText="1"/>
    </xf>
    <xf numFmtId="164" fontId="64" fillId="0" borderId="0" xfId="344" applyNumberFormat="1" applyFont="1" applyFill="1" applyBorder="1" applyAlignment="1">
      <alignment horizontal="left" wrapText="1"/>
    </xf>
    <xf numFmtId="166" fontId="64" fillId="0" borderId="0" xfId="344" applyNumberFormat="1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right" wrapText="1"/>
    </xf>
    <xf numFmtId="166" fontId="64" fillId="0" borderId="0" xfId="378" applyNumberFormat="1" applyFont="1" applyFill="1" applyBorder="1" applyAlignment="1">
      <alignment horizontal="left" wrapText="1"/>
    </xf>
    <xf numFmtId="0" fontId="62" fillId="0" borderId="16" xfId="378" applyFont="1" applyFill="1" applyBorder="1" applyAlignment="1">
      <alignment horizontal="left" wrapText="1"/>
    </xf>
    <xf numFmtId="166" fontId="62" fillId="0" borderId="0" xfId="378" applyNumberFormat="1" applyFont="1" applyFill="1" applyBorder="1" applyAlignment="1">
      <alignment horizontal="left" wrapText="1"/>
    </xf>
    <xf numFmtId="0" fontId="64" fillId="0" borderId="0" xfId="4" applyFont="1" applyFill="1"/>
    <xf numFmtId="0" fontId="14" fillId="62" borderId="0" xfId="0" applyFont="1" applyFill="1" applyAlignment="1">
      <alignment horizontal="left"/>
    </xf>
    <xf numFmtId="164" fontId="64" fillId="0" borderId="16" xfId="344" applyNumberFormat="1" applyFont="1" applyFill="1" applyBorder="1" applyAlignment="1">
      <alignment horizontal="left" wrapText="1"/>
    </xf>
    <xf numFmtId="166" fontId="64" fillId="0" borderId="16" xfId="344" applyNumberFormat="1" applyFont="1" applyFill="1" applyBorder="1" applyAlignment="1">
      <alignment horizontal="left" wrapText="1"/>
    </xf>
    <xf numFmtId="164" fontId="69" fillId="0" borderId="0" xfId="344" applyNumberFormat="1" applyFont="1" applyFill="1" applyBorder="1" applyAlignment="1">
      <alignment horizontal="left" wrapText="1"/>
    </xf>
    <xf numFmtId="166" fontId="69" fillId="0" borderId="0" xfId="344" applyNumberFormat="1" applyFont="1" applyFill="1" applyBorder="1" applyAlignment="1">
      <alignment horizontal="left" wrapText="1"/>
    </xf>
    <xf numFmtId="164" fontId="69" fillId="0" borderId="16" xfId="344" applyNumberFormat="1" applyFont="1" applyFill="1" applyBorder="1" applyAlignment="1">
      <alignment horizontal="left" wrapText="1"/>
    </xf>
    <xf numFmtId="166" fontId="69" fillId="0" borderId="16" xfId="344" applyNumberFormat="1" applyFont="1" applyFill="1" applyBorder="1" applyAlignment="1">
      <alignment horizontal="left" wrapText="1"/>
    </xf>
    <xf numFmtId="0" fontId="42" fillId="62" borderId="0" xfId="0" applyFont="1" applyFill="1" applyAlignment="1">
      <alignment horizontal="left"/>
    </xf>
    <xf numFmtId="0" fontId="62" fillId="0" borderId="16" xfId="344" applyFont="1" applyFill="1" applyBorder="1" applyAlignment="1">
      <alignment horizontal="left" wrapText="1"/>
    </xf>
    <xf numFmtId="0" fontId="62" fillId="0" borderId="16" xfId="4" applyFont="1" applyFill="1" applyBorder="1" applyAlignment="1">
      <alignment horizontal="left"/>
    </xf>
    <xf numFmtId="166" fontId="62" fillId="0" borderId="16" xfId="0" applyNumberFormat="1" applyFont="1" applyBorder="1" applyAlignment="1">
      <alignment horizontal="left"/>
    </xf>
    <xf numFmtId="166" fontId="69" fillId="0" borderId="16" xfId="378" applyNumberFormat="1" applyFont="1" applyFill="1" applyBorder="1" applyAlignment="1">
      <alignment horizontal="left" wrapText="1"/>
    </xf>
    <xf numFmtId="7" fontId="62" fillId="0" borderId="0" xfId="4" applyNumberFormat="1" applyFont="1" applyFill="1"/>
    <xf numFmtId="0" fontId="1" fillId="62" borderId="0" xfId="0" applyFont="1" applyFill="1" applyAlignment="1">
      <alignment horizontal="left"/>
    </xf>
    <xf numFmtId="0" fontId="62" fillId="62" borderId="0" xfId="4" applyFont="1" applyFill="1" applyAlignment="1">
      <alignment horizontal="left"/>
    </xf>
    <xf numFmtId="1" fontId="62" fillId="0" borderId="0" xfId="4" applyNumberFormat="1" applyFont="1" applyFill="1" applyAlignment="1">
      <alignment horizontal="left"/>
    </xf>
    <xf numFmtId="0" fontId="62" fillId="0" borderId="0" xfId="4" applyFont="1"/>
    <xf numFmtId="0" fontId="62" fillId="0" borderId="0" xfId="0" quotePrefix="1" applyFont="1" applyAlignment="1">
      <alignment horizontal="left"/>
    </xf>
    <xf numFmtId="7" fontId="64" fillId="0" borderId="0" xfId="4" applyNumberFormat="1" applyFont="1"/>
    <xf numFmtId="0" fontId="64" fillId="0" borderId="0" xfId="0" quotePrefix="1" applyFont="1" applyAlignment="1">
      <alignment horizontal="left"/>
    </xf>
    <xf numFmtId="0" fontId="69" fillId="0" borderId="16" xfId="378" applyFont="1" applyFill="1" applyBorder="1" applyAlignment="1">
      <alignment horizontal="left" wrapText="1"/>
    </xf>
    <xf numFmtId="0" fontId="62" fillId="0" borderId="16" xfId="345" applyFont="1" applyFill="1" applyBorder="1" applyAlignment="1">
      <alignment horizontal="left" wrapText="1"/>
    </xf>
    <xf numFmtId="0" fontId="69" fillId="0" borderId="16" xfId="378" applyFont="1" applyFill="1" applyBorder="1" applyAlignment="1">
      <alignment wrapText="1"/>
    </xf>
    <xf numFmtId="43" fontId="64" fillId="0" borderId="0" xfId="16" applyFont="1"/>
    <xf numFmtId="43" fontId="64" fillId="0" borderId="0" xfId="484" applyFont="1"/>
    <xf numFmtId="0" fontId="64" fillId="0" borderId="16" xfId="344" applyFont="1" applyFill="1" applyBorder="1" applyAlignment="1">
      <alignment horizontal="left" wrapText="1"/>
    </xf>
    <xf numFmtId="0" fontId="64" fillId="0" borderId="16" xfId="378" applyFont="1" applyFill="1" applyBorder="1" applyAlignment="1">
      <alignment wrapText="1"/>
    </xf>
    <xf numFmtId="0" fontId="70" fillId="0" borderId="16" xfId="344" applyFont="1" applyFill="1" applyBorder="1" applyAlignment="1">
      <alignment horizontal="left" wrapText="1"/>
    </xf>
    <xf numFmtId="43" fontId="62" fillId="0" borderId="0" xfId="16" applyFont="1"/>
    <xf numFmtId="0" fontId="42" fillId="0" borderId="16" xfId="345" applyFont="1" applyFill="1" applyBorder="1" applyAlignment="1">
      <alignment horizontal="left" wrapText="1"/>
    </xf>
    <xf numFmtId="0" fontId="69" fillId="0" borderId="16" xfId="344" applyFont="1" applyFill="1" applyBorder="1" applyAlignment="1">
      <alignment horizontal="left" wrapText="1"/>
    </xf>
    <xf numFmtId="165" fontId="64" fillId="55" borderId="0" xfId="0" applyNumberFormat="1" applyFont="1" applyFill="1" applyAlignment="1">
      <alignment horizontal="left"/>
    </xf>
    <xf numFmtId="0" fontId="69" fillId="0" borderId="0" xfId="4" applyFont="1" applyAlignment="1"/>
    <xf numFmtId="43" fontId="69" fillId="0" borderId="0" xfId="16" applyFont="1" applyAlignment="1"/>
    <xf numFmtId="2" fontId="64" fillId="0" borderId="0" xfId="0" applyNumberFormat="1" applyFont="1" applyAlignment="1">
      <alignment horizontal="left" readingOrder="1"/>
    </xf>
    <xf numFmtId="0" fontId="64" fillId="0" borderId="0" xfId="4" applyFont="1" applyFill="1" applyAlignment="1">
      <alignment horizontal="left"/>
    </xf>
    <xf numFmtId="2" fontId="14" fillId="56" borderId="0" xfId="0" applyNumberFormat="1" applyFont="1" applyFill="1" applyAlignment="1">
      <alignment horizontal="left" readingOrder="1"/>
    </xf>
    <xf numFmtId="0" fontId="64" fillId="0" borderId="0" xfId="0" applyFont="1" applyAlignment="1">
      <alignment horizontal="left" wrapText="1"/>
    </xf>
    <xf numFmtId="0" fontId="64" fillId="55" borderId="0" xfId="4" applyFont="1" applyFill="1" applyAlignment="1">
      <alignment horizontal="left" wrapText="1"/>
    </xf>
    <xf numFmtId="0" fontId="62" fillId="0" borderId="0" xfId="480" applyFont="1" applyFill="1" applyAlignment="1">
      <alignment horizontal="left"/>
    </xf>
    <xf numFmtId="14" fontId="14" fillId="0" borderId="0" xfId="0" applyNumberFormat="1" applyFont="1"/>
    <xf numFmtId="0" fontId="64" fillId="0" borderId="0" xfId="480" applyFont="1"/>
    <xf numFmtId="2" fontId="14" fillId="0" borderId="0" xfId="0" applyNumberFormat="1" applyFont="1" applyAlignment="1">
      <alignment horizontal="left" readingOrder="1"/>
    </xf>
    <xf numFmtId="2" fontId="1" fillId="0" borderId="0" xfId="0" applyNumberFormat="1" applyFont="1" applyAlignment="1">
      <alignment horizontal="left" readingOrder="1"/>
    </xf>
    <xf numFmtId="1" fontId="64" fillId="0" borderId="0" xfId="480" applyNumberFormat="1" applyFont="1" applyFill="1" applyAlignment="1">
      <alignment horizontal="left"/>
    </xf>
    <xf numFmtId="0" fontId="64" fillId="0" borderId="0" xfId="480" applyFont="1" applyFill="1" applyAlignment="1">
      <alignment horizontal="left"/>
    </xf>
    <xf numFmtId="0" fontId="64" fillId="0" borderId="0" xfId="6" applyFont="1"/>
    <xf numFmtId="0" fontId="64" fillId="0" borderId="0" xfId="465" applyFont="1"/>
    <xf numFmtId="2" fontId="14" fillId="0" borderId="0" xfId="0" applyNumberFormat="1" applyFont="1" applyAlignment="1">
      <alignment horizontal="left"/>
    </xf>
    <xf numFmtId="0" fontId="64" fillId="0" borderId="0" xfId="4" applyFont="1"/>
    <xf numFmtId="2" fontId="64" fillId="55" borderId="0" xfId="0" applyNumberFormat="1" applyFont="1" applyFill="1" applyAlignment="1">
      <alignment horizontal="left"/>
    </xf>
    <xf numFmtId="2" fontId="63" fillId="0" borderId="0" xfId="0" applyNumberFormat="1" applyFont="1" applyAlignment="1">
      <alignment horizontal="left"/>
    </xf>
    <xf numFmtId="2" fontId="64" fillId="0" borderId="0" xfId="1" applyNumberFormat="1" applyFont="1" applyAlignment="1">
      <alignment horizontal="left"/>
    </xf>
    <xf numFmtId="166" fontId="64" fillId="0" borderId="0" xfId="0" applyNumberFormat="1" applyFont="1" applyAlignment="1">
      <alignment horizontal="left"/>
    </xf>
    <xf numFmtId="0" fontId="64" fillId="0" borderId="0" xfId="4" applyFont="1" applyAlignment="1">
      <alignment horizontal="left"/>
    </xf>
    <xf numFmtId="2" fontId="64" fillId="0" borderId="0" xfId="0" applyNumberFormat="1" applyFont="1" applyAlignment="1">
      <alignment horizontal="left"/>
    </xf>
    <xf numFmtId="0" fontId="64" fillId="0" borderId="19" xfId="344" applyFont="1" applyFill="1" applyBorder="1" applyAlignment="1">
      <alignment horizontal="left" wrapText="1"/>
    </xf>
    <xf numFmtId="1" fontId="64" fillId="0" borderId="0" xfId="0" applyNumberFormat="1" applyFont="1" applyAlignment="1">
      <alignment horizontal="left"/>
    </xf>
    <xf numFmtId="165" fontId="64" fillId="0" borderId="0" xfId="0" applyNumberFormat="1" applyFont="1" applyAlignment="1">
      <alignment horizontal="left"/>
    </xf>
    <xf numFmtId="0" fontId="69" fillId="0" borderId="0" xfId="4" applyFont="1"/>
    <xf numFmtId="0" fontId="63" fillId="0" borderId="0" xfId="0" applyFont="1" applyAlignment="1">
      <alignment horizontal="left"/>
    </xf>
    <xf numFmtId="2" fontId="69" fillId="0" borderId="19" xfId="344" applyNumberFormat="1" applyFont="1" applyFill="1" applyBorder="1" applyAlignment="1">
      <alignment horizontal="left" wrapText="1"/>
    </xf>
    <xf numFmtId="0" fontId="69" fillId="0" borderId="19" xfId="344" applyFont="1" applyFill="1" applyBorder="1" applyAlignment="1">
      <alignment horizontal="left" wrapText="1"/>
    </xf>
    <xf numFmtId="165" fontId="63" fillId="0" borderId="0" xfId="0" applyNumberFormat="1" applyFont="1" applyAlignment="1">
      <alignment horizontal="left"/>
    </xf>
    <xf numFmtId="1" fontId="64" fillId="0" borderId="0" xfId="465" applyNumberFormat="1" applyFont="1" applyFill="1" applyAlignment="1">
      <alignment horizontal="left"/>
    </xf>
    <xf numFmtId="0" fontId="68" fillId="0" borderId="0" xfId="0" applyFont="1"/>
    <xf numFmtId="43" fontId="67" fillId="0" borderId="0" xfId="1" applyFont="1" applyAlignment="1">
      <alignment horizontal="left"/>
    </xf>
    <xf numFmtId="0" fontId="68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7" fillId="0" borderId="0" xfId="465" applyFont="1" applyFill="1" applyAlignment="1">
      <alignment horizontal="left"/>
    </xf>
    <xf numFmtId="0" fontId="67" fillId="0" borderId="0" xfId="0" applyFont="1"/>
    <xf numFmtId="14" fontId="67" fillId="0" borderId="0" xfId="0" applyNumberFormat="1" applyFont="1"/>
    <xf numFmtId="43" fontId="64" fillId="0" borderId="0" xfId="1" applyFont="1" applyAlignment="1">
      <alignment horizontal="left"/>
    </xf>
    <xf numFmtId="0" fontId="64" fillId="0" borderId="0" xfId="0" applyFont="1" applyAlignment="1">
      <alignment horizontal="left"/>
    </xf>
    <xf numFmtId="0" fontId="64" fillId="0" borderId="0" xfId="465" applyFont="1" applyFill="1" applyAlignment="1">
      <alignment horizontal="left"/>
    </xf>
    <xf numFmtId="14" fontId="64" fillId="0" borderId="0" xfId="0" applyNumberFormat="1" applyFont="1"/>
    <xf numFmtId="1" fontId="42" fillId="0" borderId="0" xfId="0" applyNumberFormat="1" applyFont="1" applyAlignment="1">
      <alignment horizontal="left"/>
    </xf>
    <xf numFmtId="43" fontId="62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62" fillId="0" borderId="0" xfId="465" applyFont="1" applyFill="1" applyAlignment="1">
      <alignment horizontal="left"/>
    </xf>
    <xf numFmtId="0" fontId="42" fillId="0" borderId="16" xfId="0" applyFont="1" applyBorder="1"/>
    <xf numFmtId="0" fontId="62" fillId="0" borderId="0" xfId="0" applyFont="1" applyAlignment="1">
      <alignment horizontal="left"/>
    </xf>
    <xf numFmtId="0" fontId="62" fillId="0" borderId="16" xfId="0" applyFont="1" applyBorder="1" applyAlignment="1">
      <alignment horizontal="left"/>
    </xf>
    <xf numFmtId="14" fontId="62" fillId="0" borderId="0" xfId="0" applyNumberFormat="1" applyFont="1"/>
    <xf numFmtId="0" fontId="62" fillId="0" borderId="0" xfId="7" applyFont="1" applyFill="1" applyAlignment="1">
      <alignment horizontal="left"/>
    </xf>
    <xf numFmtId="0" fontId="62" fillId="0" borderId="0" xfId="6" applyFont="1" applyFill="1" applyAlignment="1">
      <alignment horizontal="left"/>
    </xf>
    <xf numFmtId="49" fontId="62" fillId="0" borderId="0" xfId="38" applyNumberFormat="1" applyFont="1" applyFill="1" applyAlignment="1">
      <alignment horizontal="right"/>
    </xf>
    <xf numFmtId="0" fontId="62" fillId="0" borderId="0" xfId="5" applyFont="1" applyFill="1" applyAlignment="1">
      <alignment horizontal="left"/>
    </xf>
    <xf numFmtId="0" fontId="62" fillId="0" borderId="0" xfId="2" applyFont="1" applyFill="1" applyAlignment="1">
      <alignment horizontal="left"/>
    </xf>
    <xf numFmtId="0" fontId="62" fillId="0" borderId="0" xfId="4" applyFont="1" applyFill="1" applyAlignment="1">
      <alignment horizontal="left"/>
    </xf>
    <xf numFmtId="0" fontId="1" fillId="0" borderId="0" xfId="0" applyFont="1"/>
    <xf numFmtId="0" fontId="62" fillId="0" borderId="0" xfId="38" applyFont="1" applyFill="1" applyAlignment="1">
      <alignment horizontal="left"/>
    </xf>
    <xf numFmtId="0" fontId="62" fillId="0" borderId="0" xfId="38" applyFont="1" applyFill="1"/>
    <xf numFmtId="0" fontId="62" fillId="0" borderId="0" xfId="4" applyFont="1" applyAlignment="1">
      <alignment horizontal="left"/>
    </xf>
    <xf numFmtId="49" fontId="62" fillId="0" borderId="0" xfId="38" applyNumberFormat="1" applyFont="1" applyFill="1" applyAlignment="1">
      <alignment horizontal="left"/>
    </xf>
    <xf numFmtId="0" fontId="62" fillId="0" borderId="0" xfId="38" applyFont="1" applyFill="1" applyBorder="1" applyAlignment="1">
      <alignment horizontal="left"/>
    </xf>
    <xf numFmtId="1" fontId="62" fillId="0" borderId="0" xfId="11" applyNumberFormat="1" applyFont="1" applyFill="1" applyAlignment="1">
      <alignment horizontal="left"/>
    </xf>
    <xf numFmtId="0" fontId="64" fillId="0" borderId="0" xfId="38" applyFont="1" applyFill="1"/>
    <xf numFmtId="1" fontId="62" fillId="0" borderId="0" xfId="38" applyNumberFormat="1" applyFont="1" applyFill="1"/>
    <xf numFmtId="14" fontId="62" fillId="0" borderId="0" xfId="38" applyNumberFormat="1" applyFont="1" applyFill="1" applyAlignment="1">
      <alignment horizontal="left"/>
    </xf>
    <xf numFmtId="0" fontId="66" fillId="56" borderId="0" xfId="0" applyFont="1" applyFill="1" applyAlignment="1"/>
    <xf numFmtId="0" fontId="66" fillId="56" borderId="0" xfId="387" applyFont="1" applyFill="1" applyAlignment="1">
      <alignment horizontal="center"/>
    </xf>
    <xf numFmtId="2" fontId="66" fillId="56" borderId="0" xfId="388" applyNumberFormat="1" applyFont="1" applyFill="1" applyAlignment="1">
      <alignment horizontal="left"/>
    </xf>
    <xf numFmtId="49" fontId="66" fillId="56" borderId="0" xfId="387" applyNumberFormat="1" applyFont="1" applyFill="1" applyAlignment="1">
      <alignment horizontal="left"/>
    </xf>
    <xf numFmtId="1" fontId="66" fillId="56" borderId="0" xfId="387" applyNumberFormat="1" applyFont="1" applyFill="1" applyAlignment="1">
      <alignment horizontal="left"/>
    </xf>
    <xf numFmtId="0" fontId="66" fillId="56" borderId="0" xfId="387" applyFont="1" applyFill="1" applyAlignment="1"/>
    <xf numFmtId="2" fontId="63" fillId="0" borderId="0" xfId="0" applyNumberFormat="1" applyFont="1" applyFill="1" applyAlignment="1">
      <alignment horizontal="left" readingOrder="1"/>
    </xf>
    <xf numFmtId="43" fontId="62" fillId="0" borderId="0" xfId="484" applyFont="1" applyFill="1"/>
    <xf numFmtId="1" fontId="62" fillId="0" borderId="0" xfId="0" quotePrefix="1" applyNumberFormat="1" applyFont="1" applyFill="1" applyAlignment="1">
      <alignment horizontal="left"/>
    </xf>
    <xf numFmtId="1" fontId="63" fillId="0" borderId="0" xfId="0" applyNumberFormat="1" applyFont="1" applyFill="1" applyAlignment="1">
      <alignment horizontal="left"/>
    </xf>
    <xf numFmtId="0" fontId="62" fillId="0" borderId="0" xfId="0" quotePrefix="1" applyFont="1"/>
    <xf numFmtId="0" fontId="0" fillId="0" borderId="0" xfId="0" quotePrefix="1" applyFont="1" applyAlignment="1">
      <alignment horizontal="left"/>
    </xf>
    <xf numFmtId="0" fontId="64" fillId="0" borderId="0" xfId="0" applyFont="1" applyFill="1"/>
    <xf numFmtId="0" fontId="69" fillId="0" borderId="0" xfId="344" applyFont="1" applyFill="1" applyBorder="1" applyAlignment="1">
      <alignment horizontal="left" wrapText="1"/>
    </xf>
    <xf numFmtId="0" fontId="64" fillId="0" borderId="16" xfId="0" applyFont="1" applyBorder="1" applyAlignment="1">
      <alignment horizontal="left"/>
    </xf>
    <xf numFmtId="2" fontId="1" fillId="61" borderId="0" xfId="0" applyNumberFormat="1" applyFont="1" applyFill="1" applyAlignment="1">
      <alignment horizontal="left" readingOrder="1"/>
    </xf>
    <xf numFmtId="0" fontId="63" fillId="0" borderId="0" xfId="0" applyFont="1" applyFill="1" applyAlignment="1">
      <alignment horizontal="left"/>
    </xf>
    <xf numFmtId="1" fontId="64" fillId="0" borderId="0" xfId="0" applyNumberFormat="1" applyFont="1" applyFill="1" applyAlignment="1">
      <alignment horizontal="left"/>
    </xf>
    <xf numFmtId="166" fontId="64" fillId="0" borderId="0" xfId="0" applyNumberFormat="1" applyFont="1" applyFill="1" applyAlignment="1">
      <alignment horizontal="left"/>
    </xf>
    <xf numFmtId="2" fontId="64" fillId="0" borderId="0" xfId="0" applyNumberFormat="1" applyFont="1" applyFill="1" applyAlignment="1">
      <alignment horizontal="left" readingOrder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63" fillId="0" borderId="0" xfId="0" quotePrefix="1" applyFont="1" applyAlignment="1">
      <alignment horizontal="left"/>
    </xf>
    <xf numFmtId="2" fontId="63" fillId="63" borderId="0" xfId="0" applyNumberFormat="1" applyFont="1" applyFill="1" applyAlignment="1">
      <alignment horizontal="left" readingOrder="1"/>
    </xf>
    <xf numFmtId="2" fontId="63" fillId="56" borderId="0" xfId="0" applyNumberFormat="1" applyFont="1" applyFill="1" applyAlignment="1">
      <alignment horizontal="left" readingOrder="1"/>
    </xf>
    <xf numFmtId="0" fontId="63" fillId="0" borderId="0" xfId="0" quotePrefix="1" applyFont="1" applyFill="1" applyAlignment="1">
      <alignment horizontal="left"/>
    </xf>
    <xf numFmtId="0" fontId="20" fillId="0" borderId="16" xfId="529" applyFont="1" applyFill="1" applyBorder="1" applyAlignment="1">
      <alignment wrapText="1"/>
    </xf>
    <xf numFmtId="0" fontId="20" fillId="0" borderId="16" xfId="378" applyFont="1" applyFill="1" applyBorder="1" applyAlignment="1">
      <alignment wrapText="1"/>
    </xf>
    <xf numFmtId="0" fontId="62" fillId="0" borderId="0" xfId="0" quotePrefix="1" applyFont="1" applyFill="1" applyAlignment="1">
      <alignment horizontal="left"/>
    </xf>
    <xf numFmtId="2" fontId="42" fillId="0" borderId="0" xfId="0" applyNumberFormat="1" applyFont="1" applyFill="1"/>
    <xf numFmtId="2" fontId="62" fillId="0" borderId="0" xfId="0" applyNumberFormat="1" applyFont="1" applyFill="1" applyAlignment="1">
      <alignment horizontal="left" readingOrder="1"/>
    </xf>
    <xf numFmtId="0" fontId="20" fillId="0" borderId="16" xfId="529" applyFont="1" applyFill="1" applyBorder="1" applyAlignment="1">
      <alignment horizontal="left" wrapText="1"/>
    </xf>
    <xf numFmtId="0" fontId="20" fillId="0" borderId="16" xfId="378" applyFont="1" applyFill="1" applyBorder="1" applyAlignment="1">
      <alignment horizontal="left" wrapText="1"/>
    </xf>
    <xf numFmtId="1" fontId="63" fillId="0" borderId="0" xfId="0" quotePrefix="1" applyNumberFormat="1" applyFont="1" applyAlignment="1">
      <alignment horizontal="left"/>
    </xf>
    <xf numFmtId="2" fontId="63" fillId="64" borderId="0" xfId="0" applyNumberFormat="1" applyFont="1" applyFill="1" applyAlignment="1">
      <alignment horizontal="left" readingOrder="1"/>
    </xf>
    <xf numFmtId="0" fontId="62" fillId="65" borderId="0" xfId="0" applyFont="1" applyFill="1"/>
    <xf numFmtId="0" fontId="0" fillId="65" borderId="0" xfId="0" applyFont="1" applyFill="1"/>
    <xf numFmtId="0" fontId="20" fillId="0" borderId="16" xfId="378" applyFont="1" applyFill="1" applyBorder="1" applyAlignment="1">
      <alignment horizontal="right" wrapText="1"/>
    </xf>
    <xf numFmtId="2" fontId="50" fillId="0" borderId="0" xfId="0" applyNumberFormat="1" applyFont="1" applyFill="1" applyAlignment="1">
      <alignment horizontal="left" readingOrder="1"/>
    </xf>
    <xf numFmtId="2" fontId="49" fillId="0" borderId="0" xfId="0" applyNumberFormat="1" applyFont="1" applyFill="1" applyAlignment="1">
      <alignment horizontal="left" readingOrder="1"/>
    </xf>
  </cellXfs>
  <cellStyles count="530">
    <cellStyle name="20% - Accent1" xfId="412" builtinId="30" customBuiltin="1"/>
    <cellStyle name="20% - Accent1 2" xfId="40"/>
    <cellStyle name="20% - Accent1 3" xfId="41"/>
    <cellStyle name="20% - Accent1 4" xfId="39"/>
    <cellStyle name="20% - Accent2" xfId="416" builtinId="34" customBuiltin="1"/>
    <cellStyle name="20% - Accent2 2" xfId="43"/>
    <cellStyle name="20% - Accent2 3" xfId="44"/>
    <cellStyle name="20% - Accent2 4" xfId="42"/>
    <cellStyle name="20% - Accent3" xfId="420" builtinId="38" customBuiltin="1"/>
    <cellStyle name="20% - Accent3 2" xfId="46"/>
    <cellStyle name="20% - Accent3 3" xfId="47"/>
    <cellStyle name="20% - Accent3 4" xfId="45"/>
    <cellStyle name="20% - Accent4" xfId="424" builtinId="42" customBuiltin="1"/>
    <cellStyle name="20% - Accent4 2" xfId="49"/>
    <cellStyle name="20% - Accent4 3" xfId="50"/>
    <cellStyle name="20% - Accent4 4" xfId="48"/>
    <cellStyle name="20% - Accent5" xfId="428" builtinId="46" customBuiltin="1"/>
    <cellStyle name="20% - Accent5 2" xfId="52"/>
    <cellStyle name="20% - Accent5 3" xfId="53"/>
    <cellStyle name="20% - Accent5 4" xfId="51"/>
    <cellStyle name="20% - Accent6" xfId="432" builtinId="50" customBuiltin="1"/>
    <cellStyle name="20% - Accent6 2" xfId="55"/>
    <cellStyle name="20% - Accent6 3" xfId="56"/>
    <cellStyle name="20% - Accent6 4" xfId="54"/>
    <cellStyle name="40% - Accent1" xfId="413" builtinId="31" customBuiltin="1"/>
    <cellStyle name="40% - Accent1 2" xfId="58"/>
    <cellStyle name="40% - Accent1 3" xfId="59"/>
    <cellStyle name="40% - Accent1 4" xfId="57"/>
    <cellStyle name="40% - Accent2" xfId="417" builtinId="35" customBuiltin="1"/>
    <cellStyle name="40% - Accent2 2" xfId="61"/>
    <cellStyle name="40% - Accent2 3" xfId="62"/>
    <cellStyle name="40% - Accent2 4" xfId="60"/>
    <cellStyle name="40% - Accent3" xfId="421" builtinId="39" customBuiltin="1"/>
    <cellStyle name="40% - Accent3 2" xfId="64"/>
    <cellStyle name="40% - Accent3 3" xfId="65"/>
    <cellStyle name="40% - Accent3 4" xfId="63"/>
    <cellStyle name="40% - Accent4" xfId="425" builtinId="43" customBuiltin="1"/>
    <cellStyle name="40% - Accent4 2" xfId="67"/>
    <cellStyle name="40% - Accent4 3" xfId="68"/>
    <cellStyle name="40% - Accent4 4" xfId="66"/>
    <cellStyle name="40% - Accent5" xfId="429" builtinId="47" customBuiltin="1"/>
    <cellStyle name="40% - Accent5 2" xfId="70"/>
    <cellStyle name="40% - Accent5 3" xfId="71"/>
    <cellStyle name="40% - Accent5 4" xfId="69"/>
    <cellStyle name="40% - Accent6" xfId="433" builtinId="51" customBuiltin="1"/>
    <cellStyle name="40% - Accent6 2" xfId="73"/>
    <cellStyle name="40% - Accent6 3" xfId="74"/>
    <cellStyle name="40% - Accent6 4" xfId="72"/>
    <cellStyle name="60% - Accent1" xfId="414" builtinId="32" customBuiltin="1"/>
    <cellStyle name="60% - Accent1 2" xfId="76"/>
    <cellStyle name="60% - Accent1 3" xfId="77"/>
    <cellStyle name="60% - Accent1 4" xfId="75"/>
    <cellStyle name="60% - Accent2" xfId="418" builtinId="36" customBuiltin="1"/>
    <cellStyle name="60% - Accent2 2" xfId="79"/>
    <cellStyle name="60% - Accent2 3" xfId="80"/>
    <cellStyle name="60% - Accent2 4" xfId="78"/>
    <cellStyle name="60% - Accent3" xfId="422" builtinId="40" customBuiltin="1"/>
    <cellStyle name="60% - Accent3 2" xfId="82"/>
    <cellStyle name="60% - Accent3 3" xfId="83"/>
    <cellStyle name="60% - Accent3 4" xfId="81"/>
    <cellStyle name="60% - Accent4" xfId="426" builtinId="44" customBuiltin="1"/>
    <cellStyle name="60% - Accent4 2" xfId="85"/>
    <cellStyle name="60% - Accent4 3" xfId="86"/>
    <cellStyle name="60% - Accent4 4" xfId="84"/>
    <cellStyle name="60% - Accent5" xfId="430" builtinId="48" customBuiltin="1"/>
    <cellStyle name="60% - Accent5 2" xfId="88"/>
    <cellStyle name="60% - Accent5 3" xfId="89"/>
    <cellStyle name="60% - Accent5 4" xfId="87"/>
    <cellStyle name="60% - Accent6" xfId="434" builtinId="52" customBuiltin="1"/>
    <cellStyle name="60% - Accent6 2" xfId="91"/>
    <cellStyle name="60% - Accent6 3" xfId="92"/>
    <cellStyle name="60% - Accent6 4" xfId="90"/>
    <cellStyle name="Accent1" xfId="411" builtinId="29" customBuiltin="1"/>
    <cellStyle name="Accent1 2" xfId="94"/>
    <cellStyle name="Accent1 3" xfId="95"/>
    <cellStyle name="Accent1 4" xfId="93"/>
    <cellStyle name="Accent2" xfId="415" builtinId="33" customBuiltin="1"/>
    <cellStyle name="Accent2 2" xfId="97"/>
    <cellStyle name="Accent2 3" xfId="98"/>
    <cellStyle name="Accent2 4" xfId="96"/>
    <cellStyle name="Accent3" xfId="419" builtinId="37" customBuiltin="1"/>
    <cellStyle name="Accent3 2" xfId="100"/>
    <cellStyle name="Accent3 3" xfId="101"/>
    <cellStyle name="Accent3 4" xfId="99"/>
    <cellStyle name="Accent4" xfId="423" builtinId="41" customBuiltin="1"/>
    <cellStyle name="Accent4 2" xfId="103"/>
    <cellStyle name="Accent4 3" xfId="104"/>
    <cellStyle name="Accent4 4" xfId="102"/>
    <cellStyle name="Accent5" xfId="427" builtinId="45" customBuiltin="1"/>
    <cellStyle name="Accent5 2" xfId="106"/>
    <cellStyle name="Accent5 3" xfId="107"/>
    <cellStyle name="Accent5 4" xfId="105"/>
    <cellStyle name="Accent6" xfId="431" builtinId="49" customBuiltin="1"/>
    <cellStyle name="Accent6 2" xfId="109"/>
    <cellStyle name="Accent6 3" xfId="110"/>
    <cellStyle name="Accent6 4" xfId="108"/>
    <cellStyle name="Bad" xfId="401" builtinId="27" customBuiltin="1"/>
    <cellStyle name="Bad 2" xfId="112"/>
    <cellStyle name="Bad 3" xfId="113"/>
    <cellStyle name="Bad 4" xfId="111"/>
    <cellStyle name="Calculation" xfId="405" builtinId="22" customBuiltin="1"/>
    <cellStyle name="Calculation 2" xfId="115"/>
    <cellStyle name="Calculation 3" xfId="116"/>
    <cellStyle name="Calculation 4" xfId="114"/>
    <cellStyle name="Check Cell" xfId="407" builtinId="23" customBuiltin="1"/>
    <cellStyle name="Check Cell 2" xfId="118"/>
    <cellStyle name="Check Cell 3" xfId="119"/>
    <cellStyle name="Check Cell 4" xfId="117"/>
    <cellStyle name="Comma" xfId="1" builtinId="3"/>
    <cellStyle name="Comma 10" xfId="16"/>
    <cellStyle name="Comma 10 2" xfId="122"/>
    <cellStyle name="Comma 10 2 2" xfId="123"/>
    <cellStyle name="Comma 10 2 2 2" xfId="124"/>
    <cellStyle name="Comma 10 2 3" xfId="21"/>
    <cellStyle name="Comma 10 2 4" xfId="308"/>
    <cellStyle name="Comma 10 2 4 2" xfId="450"/>
    <cellStyle name="Comma 10 3" xfId="126"/>
    <cellStyle name="Comma 10 3 2" xfId="127"/>
    <cellStyle name="Comma 11" xfId="19"/>
    <cellStyle name="Comma 11 2" xfId="129"/>
    <cellStyle name="Comma 12" xfId="130"/>
    <cellStyle name="Comma 12 2" xfId="131"/>
    <cellStyle name="Comma 13" xfId="132"/>
    <cellStyle name="Comma 13 2" xfId="133"/>
    <cellStyle name="Comma 13 3" xfId="134"/>
    <cellStyle name="Comma 13 3 2" xfId="374"/>
    <cellStyle name="Comma 13 3 3" xfId="375"/>
    <cellStyle name="Comma 13 3 3 2" xfId="389"/>
    <cellStyle name="Comma 13 3 3 2 2" xfId="473"/>
    <cellStyle name="Comma 13 3 3 3" xfId="472"/>
    <cellStyle name="Comma 13 3 3 3 2" xfId="485"/>
    <cellStyle name="Comma 13 3 3 3 3" xfId="484"/>
    <cellStyle name="Comma 13 3 3 3 3 2" xfId="494"/>
    <cellStyle name="Comma 13 3 3 3 3 3" xfId="516"/>
    <cellStyle name="Comma 13 3 3 4" xfId="495"/>
    <cellStyle name="Comma 13 3 3 4 2" xfId="496"/>
    <cellStyle name="Comma 13 3 3 4 3" xfId="517"/>
    <cellStyle name="Comma 13 3 4" xfId="384"/>
    <cellStyle name="Comma 13 3 4 2" xfId="487"/>
    <cellStyle name="Comma 13 3 4 3" xfId="486"/>
    <cellStyle name="Comma 13 3 4 3 2" xfId="497"/>
    <cellStyle name="Comma 13 3 4 3 3" xfId="518"/>
    <cellStyle name="Comma 13 3 5" xfId="463"/>
    <cellStyle name="Comma 13 3 5 2" xfId="499"/>
    <cellStyle name="Comma 13 3 5 3" xfId="498"/>
    <cellStyle name="Comma 13 3 5 4" xfId="519"/>
    <cellStyle name="Comma 13 3 6" xfId="468"/>
    <cellStyle name="Comma 13 4" xfId="135"/>
    <cellStyle name="Comma 13 4 2" xfId="376"/>
    <cellStyle name="Comma 13 5" xfId="382"/>
    <cellStyle name="Comma 13 5 2" xfId="390"/>
    <cellStyle name="Comma 13 6" xfId="467"/>
    <cellStyle name="Comma 14" xfId="136"/>
    <cellStyle name="Comma 14 2" xfId="372"/>
    <cellStyle name="Comma 14 3" xfId="373"/>
    <cellStyle name="Comma 14 3 2" xfId="391"/>
    <cellStyle name="Comma 14 3 2 2" xfId="475"/>
    <cellStyle name="Comma 14 3 3" xfId="474"/>
    <cellStyle name="Comma 14 3 3 2" xfId="489"/>
    <cellStyle name="Comma 14 3 3 3" xfId="488"/>
    <cellStyle name="Comma 14 3 3 3 2" xfId="500"/>
    <cellStyle name="Comma 14 3 3 3 3" xfId="520"/>
    <cellStyle name="Comma 14 3 4" xfId="501"/>
    <cellStyle name="Comma 14 3 4 2" xfId="502"/>
    <cellStyle name="Comma 14 3 4 3" xfId="521"/>
    <cellStyle name="Comma 14 4" xfId="383"/>
    <cellStyle name="Comma 14 4 2" xfId="491"/>
    <cellStyle name="Comma 14 4 3" xfId="490"/>
    <cellStyle name="Comma 14 4 3 2" xfId="503"/>
    <cellStyle name="Comma 14 4 3 3" xfId="522"/>
    <cellStyle name="Comma 14 5" xfId="464"/>
    <cellStyle name="Comma 14 5 2" xfId="505"/>
    <cellStyle name="Comma 14 5 3" xfId="504"/>
    <cellStyle name="Comma 14 5 4" xfId="523"/>
    <cellStyle name="Comma 14 6" xfId="469"/>
    <cellStyle name="Comma 15" xfId="137"/>
    <cellStyle name="Comma 15 2" xfId="371"/>
    <cellStyle name="Comma 16" xfId="120"/>
    <cellStyle name="Comma 16 2" xfId="381"/>
    <cellStyle name="Comma 16 3" xfId="392"/>
    <cellStyle name="Comma 16 4" xfId="436"/>
    <cellStyle name="Comma 17" xfId="385"/>
    <cellStyle name="Comma 17 2" xfId="470"/>
    <cellStyle name="Comma 18" xfId="388"/>
    <cellStyle name="Comma 18 2" xfId="477"/>
    <cellStyle name="Comma 18 3" xfId="476"/>
    <cellStyle name="Comma 18 3 2" xfId="493"/>
    <cellStyle name="Comma 18 3 3" xfId="492"/>
    <cellStyle name="Comma 18 3 3 2" xfId="506"/>
    <cellStyle name="Comma 18 3 3 3" xfId="524"/>
    <cellStyle name="Comma 18 4" xfId="507"/>
    <cellStyle name="Comma 18 4 2" xfId="508"/>
    <cellStyle name="Comma 18 4 3" xfId="525"/>
    <cellStyle name="Comma 19" xfId="462"/>
    <cellStyle name="Comma 19 2" xfId="478"/>
    <cellStyle name="Comma 2" xfId="22"/>
    <cellStyle name="Comma 2 2" xfId="34"/>
    <cellStyle name="Comma 2 2 2" xfId="139"/>
    <cellStyle name="Comma 2 2 2 2" xfId="140"/>
    <cellStyle name="Comma 2 2 2 2 2" xfId="141"/>
    <cellStyle name="Comma 2 2 2 3" xfId="142"/>
    <cellStyle name="Comma 2 2 2 4" xfId="296"/>
    <cellStyle name="Comma 2 2 2 4 2" xfId="449"/>
    <cellStyle name="Comma 2 2 3" xfId="13"/>
    <cellStyle name="Comma 2 2 3 2" xfId="143"/>
    <cellStyle name="Comma 2 2 4" xfId="144"/>
    <cellStyle name="Comma 2 2 5" xfId="138"/>
    <cellStyle name="Comma 2 3" xfId="145"/>
    <cellStyle name="Comma 2 3 2" xfId="146"/>
    <cellStyle name="Comma 2 3 2 2" xfId="147"/>
    <cellStyle name="Comma 2 3 3" xfId="148"/>
    <cellStyle name="Comma 2 3 4" xfId="281"/>
    <cellStyle name="Comma 2 3 4 2" xfId="448"/>
    <cellStyle name="Comma 2 4" xfId="149"/>
    <cellStyle name="Comma 2 4 2" xfId="150"/>
    <cellStyle name="Comma 2 5" xfId="151"/>
    <cellStyle name="Comma 20" xfId="466"/>
    <cellStyle name="Comma 20 2" xfId="482"/>
    <cellStyle name="Comma 21" xfId="483"/>
    <cellStyle name="Comma 22" xfId="481"/>
    <cellStyle name="Comma 22 2" xfId="509"/>
    <cellStyle name="Comma 23" xfId="510"/>
    <cellStyle name="Comma 24" xfId="511"/>
    <cellStyle name="Comma 24 2" xfId="512"/>
    <cellStyle name="Comma 24 3" xfId="526"/>
    <cellStyle name="Comma 25" xfId="515"/>
    <cellStyle name="Comma 25 2" xfId="528"/>
    <cellStyle name="Comma 3" xfId="30"/>
    <cellStyle name="Comma 3 2" xfId="153"/>
    <cellStyle name="Comma 3 3" xfId="154"/>
    <cellStyle name="Comma 3 3 2" xfId="155"/>
    <cellStyle name="Comma 3 4" xfId="17"/>
    <cellStyle name="Comma 3 5" xfId="156"/>
    <cellStyle name="Comma 3 6" xfId="152"/>
    <cellStyle name="Comma 4" xfId="37"/>
    <cellStyle name="Comma 4 2" xfId="158"/>
    <cellStyle name="Comma 4 2 2" xfId="159"/>
    <cellStyle name="Comma 4 2 2 2" xfId="160"/>
    <cellStyle name="Comma 4 2 3" xfId="161"/>
    <cellStyle name="Comma 4 2 4" xfId="273"/>
    <cellStyle name="Comma 4 2 4 2" xfId="447"/>
    <cellStyle name="Comma 4 3" xfId="162"/>
    <cellStyle name="Comma 4 3 2" xfId="163"/>
    <cellStyle name="Comma 4 4" xfId="157"/>
    <cellStyle name="Comma 5" xfId="31"/>
    <cellStyle name="Comma 5 2" xfId="165"/>
    <cellStyle name="Comma 5 2 2" xfId="166"/>
    <cellStyle name="Comma 5 2 2 2" xfId="167"/>
    <cellStyle name="Comma 5 2 3" xfId="168"/>
    <cellStyle name="Comma 5 2 4" xfId="268"/>
    <cellStyle name="Comma 5 2 4 2" xfId="446"/>
    <cellStyle name="Comma 5 3" xfId="169"/>
    <cellStyle name="Comma 5 3 2" xfId="170"/>
    <cellStyle name="Comma 5 4" xfId="164"/>
    <cellStyle name="Comma 6" xfId="33"/>
    <cellStyle name="Comma 6 2" xfId="172"/>
    <cellStyle name="Comma 6 2 2" xfId="173"/>
    <cellStyle name="Comma 6 2 2 2" xfId="174"/>
    <cellStyle name="Comma 6 2 3" xfId="175"/>
    <cellStyle name="Comma 6 2 4" xfId="265"/>
    <cellStyle name="Comma 6 2 4 2" xfId="445"/>
    <cellStyle name="Comma 6 3" xfId="176"/>
    <cellStyle name="Comma 6 3 2" xfId="177"/>
    <cellStyle name="Comma 7" xfId="178"/>
    <cellStyle name="Comma 7 2" xfId="179"/>
    <cellStyle name="Comma 7 2 2" xfId="180"/>
    <cellStyle name="Comma 7 2 2 2" xfId="181"/>
    <cellStyle name="Comma 7 2 3" xfId="182"/>
    <cellStyle name="Comma 7 2 4" xfId="260"/>
    <cellStyle name="Comma 7 2 4 2" xfId="444"/>
    <cellStyle name="Comma 7 3" xfId="183"/>
    <cellStyle name="Comma 7 3 2" xfId="184"/>
    <cellStyle name="Comma 8" xfId="185"/>
    <cellStyle name="Comma 8 2" xfId="186"/>
    <cellStyle name="Comma 8 2 2" xfId="187"/>
    <cellStyle name="Comma 8 2 2 2" xfId="188"/>
    <cellStyle name="Comma 8 2 3" xfId="189"/>
    <cellStyle name="Comma 8 2 4" xfId="257"/>
    <cellStyle name="Comma 8 2 4 2" xfId="443"/>
    <cellStyle name="Comma 8 3" xfId="190"/>
    <cellStyle name="Comma 8 3 2" xfId="191"/>
    <cellStyle name="Comma 8 3 2 2" xfId="192"/>
    <cellStyle name="Comma 8 3 3" xfId="255"/>
    <cellStyle name="Comma 8 3 3 2" xfId="442"/>
    <cellStyle name="Comma 8 4" xfId="193"/>
    <cellStyle name="Comma 8 4 2" xfId="194"/>
    <cellStyle name="Comma 9" xfId="195"/>
    <cellStyle name="Comma 9 2" xfId="196"/>
    <cellStyle name="Comma 9 2 2" xfId="197"/>
    <cellStyle name="Comma 9 2 2 2" xfId="198"/>
    <cellStyle name="Comma 9 2 2 2 2" xfId="199"/>
    <cellStyle name="Comma 9 2 2 3" xfId="253"/>
    <cellStyle name="Comma 9 2 2 3 2" xfId="441"/>
    <cellStyle name="Comma 9 2 3" xfId="200"/>
    <cellStyle name="Comma 9 2 3 2" xfId="201"/>
    <cellStyle name="Comma 9 3" xfId="202"/>
    <cellStyle name="Comma 9 3 2" xfId="203"/>
    <cellStyle name="Comma 9 3 2 2" xfId="204"/>
    <cellStyle name="Comma 9 3 3" xfId="171"/>
    <cellStyle name="Comma 9 3 3 2" xfId="440"/>
    <cellStyle name="Comma 9 4" xfId="205"/>
    <cellStyle name="Comma 9 4 2" xfId="206"/>
    <cellStyle name="Currency 2" xfId="207"/>
    <cellStyle name="Currency 2 2" xfId="208"/>
    <cellStyle name="Currency 2 2 2" xfId="209"/>
    <cellStyle name="Currency 2 3" xfId="210"/>
    <cellStyle name="Currency 2 3 2" xfId="211"/>
    <cellStyle name="Currency 2 4" xfId="212"/>
    <cellStyle name="Currency 3" xfId="213"/>
    <cellStyle name="Currency 3 2" xfId="377"/>
    <cellStyle name="Currency 4" xfId="214"/>
    <cellStyle name="Currency 4 2" xfId="215"/>
    <cellStyle name="Currency 4 3" xfId="471"/>
    <cellStyle name="Currency 5" xfId="216"/>
    <cellStyle name="Currency 5 2" xfId="217"/>
    <cellStyle name="Currency 5 3" xfId="479"/>
    <cellStyle name="Currency 6" xfId="218"/>
    <cellStyle name="Currency 6 2" xfId="219"/>
    <cellStyle name="Currency 7" xfId="220"/>
    <cellStyle name="Currency 7 2" xfId="221"/>
    <cellStyle name="Currency 8" xfId="222"/>
    <cellStyle name="Explanatory Text" xfId="409" builtinId="53" customBuiltin="1"/>
    <cellStyle name="Explanatory Text 2" xfId="224"/>
    <cellStyle name="Explanatory Text 3" xfId="225"/>
    <cellStyle name="Explanatory Text 4" xfId="223"/>
    <cellStyle name="Good" xfId="400" builtinId="26" customBuiltin="1"/>
    <cellStyle name="Good 2" xfId="227"/>
    <cellStyle name="Good 3" xfId="228"/>
    <cellStyle name="Good 4" xfId="226"/>
    <cellStyle name="Heading 1" xfId="396" builtinId="16" customBuiltin="1"/>
    <cellStyle name="Heading 1 2" xfId="230"/>
    <cellStyle name="Heading 1 3" xfId="231"/>
    <cellStyle name="Heading 1 4" xfId="229"/>
    <cellStyle name="Heading 2" xfId="397" builtinId="17" customBuiltin="1"/>
    <cellStyle name="Heading 2 2" xfId="233"/>
    <cellStyle name="Heading 2 3" xfId="234"/>
    <cellStyle name="Heading 2 4" xfId="232"/>
    <cellStyle name="Heading 3" xfId="398" builtinId="18" customBuiltin="1"/>
    <cellStyle name="Heading 3 2" xfId="236"/>
    <cellStyle name="Heading 3 3" xfId="237"/>
    <cellStyle name="Heading 3 4" xfId="235"/>
    <cellStyle name="Heading 4" xfId="399" builtinId="19" customBuiltin="1"/>
    <cellStyle name="Heading 4 2" xfId="239"/>
    <cellStyle name="Heading 4 3" xfId="240"/>
    <cellStyle name="Heading 4 4" xfId="238"/>
    <cellStyle name="Hyperlink 2" xfId="241"/>
    <cellStyle name="Hyperlink 2 2" xfId="242"/>
    <cellStyle name="Hyperlink 3" xfId="243"/>
    <cellStyle name="Input" xfId="403" builtinId="20" customBuiltin="1"/>
    <cellStyle name="Input 2" xfId="245"/>
    <cellStyle name="Input 3" xfId="246"/>
    <cellStyle name="Input 4" xfId="244"/>
    <cellStyle name="Linked Cell" xfId="406" builtinId="24" customBuiltin="1"/>
    <cellStyle name="Linked Cell 2" xfId="248"/>
    <cellStyle name="Linked Cell 3" xfId="249"/>
    <cellStyle name="Linked Cell 4" xfId="247"/>
    <cellStyle name="Neutral" xfId="402" builtinId="28" customBuiltin="1"/>
    <cellStyle name="Neutral 2" xfId="251"/>
    <cellStyle name="Neutral 3" xfId="252"/>
    <cellStyle name="Neutral 4" xfId="250"/>
    <cellStyle name="Normal" xfId="0" builtinId="0"/>
    <cellStyle name="Normal 10" xfId="4"/>
    <cellStyle name="Normal 10 2" xfId="20"/>
    <cellStyle name="Normal 11" xfId="28"/>
    <cellStyle name="Normal 11 2" xfId="254"/>
    <cellStyle name="Normal 12" xfId="5"/>
    <cellStyle name="Normal 12 2" xfId="256"/>
    <cellStyle name="Normal 13" xfId="6"/>
    <cellStyle name="Normal 13 2" xfId="258"/>
    <cellStyle name="Normal 14" xfId="7"/>
    <cellStyle name="Normal 14 2" xfId="259"/>
    <cellStyle name="Normal 15" xfId="8"/>
    <cellStyle name="Normal 15 2" xfId="261"/>
    <cellStyle name="Normal 15 3" xfId="513"/>
    <cellStyle name="Normal 15 4" xfId="527"/>
    <cellStyle name="Normal 16" xfId="9"/>
    <cellStyle name="Normal 16 2" xfId="262"/>
    <cellStyle name="Normal 17" xfId="32"/>
    <cellStyle name="Normal 17 2" xfId="264"/>
    <cellStyle name="Normal 17 3" xfId="263"/>
    <cellStyle name="Normal 18" xfId="11"/>
    <cellStyle name="Normal 18 2" xfId="266"/>
    <cellStyle name="Normal 19" xfId="14"/>
    <cellStyle name="Normal 19 2" xfId="267"/>
    <cellStyle name="Normal 2" xfId="15"/>
    <cellStyle name="Normal 2 2" xfId="2"/>
    <cellStyle name="Normal 2 3" xfId="269"/>
    <cellStyle name="Normal 2 4" xfId="270"/>
    <cellStyle name="Normal 2 5" xfId="271"/>
    <cellStyle name="Normal 2 6" xfId="272"/>
    <cellStyle name="Normal 2 7" xfId="23"/>
    <cellStyle name="Normal 2 7 2" xfId="274"/>
    <cellStyle name="Normal 2 8" xfId="275"/>
    <cellStyle name="Normal 2 8 2" xfId="276"/>
    <cellStyle name="Normal 2 9" xfId="277"/>
    <cellStyle name="Normal 2 9 2" xfId="278"/>
    <cellStyle name="Normal 20" xfId="18"/>
    <cellStyle name="Normal 21" xfId="279"/>
    <cellStyle name="Normal 22" xfId="280"/>
    <cellStyle name="Normal 22 2" xfId="370"/>
    <cellStyle name="Normal 23" xfId="38"/>
    <cellStyle name="Normal 23 2" xfId="380"/>
    <cellStyle name="Normal 23 3" xfId="393"/>
    <cellStyle name="Normal 23 4" xfId="435"/>
    <cellStyle name="Normal 24" xfId="386"/>
    <cellStyle name="Normal 25" xfId="387"/>
    <cellStyle name="Normal 26" xfId="461"/>
    <cellStyle name="Normal 27" xfId="465"/>
    <cellStyle name="Normal 28" xfId="480"/>
    <cellStyle name="Normal 29" xfId="514"/>
    <cellStyle name="Normal 3" xfId="10"/>
    <cellStyle name="Normal 3 2" xfId="35"/>
    <cellStyle name="Normal 3 2 2" xfId="282"/>
    <cellStyle name="Normal 3 2 2 2" xfId="283"/>
    <cellStyle name="Normal 3 2 2 2 2" xfId="284"/>
    <cellStyle name="Normal 3 2 2 3" xfId="285"/>
    <cellStyle name="Normal 3 2 2 4" xfId="128"/>
    <cellStyle name="Normal 3 2 2 4 2" xfId="439"/>
    <cellStyle name="Normal 3 2 3" xfId="286"/>
    <cellStyle name="Normal 3 2 3 2" xfId="287"/>
    <cellStyle name="Normal 3 3" xfId="288"/>
    <cellStyle name="Normal 3 3 2" xfId="289"/>
    <cellStyle name="Normal 3 3 2 2" xfId="290"/>
    <cellStyle name="Normal 3 3 3" xfId="125"/>
    <cellStyle name="Normal 3 3 3 2" xfId="438"/>
    <cellStyle name="Normal 3 4" xfId="291"/>
    <cellStyle name="Normal 3 4 2" xfId="292"/>
    <cellStyle name="Normal 3 4 2 2" xfId="293"/>
    <cellStyle name="Normal 3 4 3" xfId="121"/>
    <cellStyle name="Normal 3 4 3 2" xfId="437"/>
    <cellStyle name="Normal 3 5" xfId="294"/>
    <cellStyle name="Normal 3 5 2" xfId="295"/>
    <cellStyle name="Normal 4" xfId="36"/>
    <cellStyle name="Normal 4 2" xfId="12"/>
    <cellStyle name="Normal 4 2 2" xfId="297"/>
    <cellStyle name="Normal 4 2 2 2" xfId="298"/>
    <cellStyle name="Normal 4 2 3" xfId="299"/>
    <cellStyle name="Normal 4 2 4" xfId="362"/>
    <cellStyle name="Normal 4 2 4 2" xfId="452"/>
    <cellStyle name="Normal 4 3" xfId="300"/>
    <cellStyle name="Normal 4 3 2" xfId="301"/>
    <cellStyle name="Normal 5" xfId="24"/>
    <cellStyle name="Normal 5 2" xfId="302"/>
    <cellStyle name="Normal 5 2 2" xfId="303"/>
    <cellStyle name="Normal 5 2 2 2" xfId="304"/>
    <cellStyle name="Normal 5 2 3" xfId="305"/>
    <cellStyle name="Normal 5 2 4" xfId="363"/>
    <cellStyle name="Normal 5 2 4 2" xfId="453"/>
    <cellStyle name="Normal 5 3" xfId="306"/>
    <cellStyle name="Normal 5 3 2" xfId="307"/>
    <cellStyle name="Normal 6" xfId="26"/>
    <cellStyle name="Normal 6 2" xfId="309"/>
    <cellStyle name="Normal 6 2 2" xfId="310"/>
    <cellStyle name="Normal 6 2 2 2" xfId="311"/>
    <cellStyle name="Normal 6 2 3" xfId="312"/>
    <cellStyle name="Normal 6 2 4" xfId="364"/>
    <cellStyle name="Normal 6 2 4 2" xfId="454"/>
    <cellStyle name="Normal 6 3" xfId="313"/>
    <cellStyle name="Normal 6 3 2" xfId="314"/>
    <cellStyle name="Normal 7" xfId="3"/>
    <cellStyle name="Normal 7 2" xfId="29"/>
    <cellStyle name="Normal 7 2 2" xfId="315"/>
    <cellStyle name="Normal 7 2 2 2" xfId="316"/>
    <cellStyle name="Normal 7 2 2 2 2" xfId="317"/>
    <cellStyle name="Normal 7 2 2 3" xfId="318"/>
    <cellStyle name="Normal 7 2 2 4" xfId="365"/>
    <cellStyle name="Normal 7 2 2 4 2" xfId="455"/>
    <cellStyle name="Normal 7 2 3" xfId="319"/>
    <cellStyle name="Normal 7 2 3 2" xfId="320"/>
    <cellStyle name="Normal 7 3" xfId="321"/>
    <cellStyle name="Normal 7 3 2" xfId="322"/>
    <cellStyle name="Normal 7 3 2 2" xfId="323"/>
    <cellStyle name="Normal 7 3 3" xfId="324"/>
    <cellStyle name="Normal 7 3 4" xfId="366"/>
    <cellStyle name="Normal 7 3 4 2" xfId="456"/>
    <cellStyle name="Normal 7 4" xfId="325"/>
    <cellStyle name="Normal 7 4 2" xfId="326"/>
    <cellStyle name="Normal 8" xfId="27"/>
    <cellStyle name="Normal 8 2" xfId="327"/>
    <cellStyle name="Normal 8 2 2" xfId="328"/>
    <cellStyle name="Normal 8 2 2 2" xfId="329"/>
    <cellStyle name="Normal 8 2 2 2 2" xfId="330"/>
    <cellStyle name="Normal 8 2 2 3" xfId="367"/>
    <cellStyle name="Normal 8 2 2 3 2" xfId="457"/>
    <cellStyle name="Normal 8 2 3" xfId="331"/>
    <cellStyle name="Normal 8 2 3 2" xfId="332"/>
    <cellStyle name="Normal 8 3" xfId="333"/>
    <cellStyle name="Normal 8 3 2" xfId="334"/>
    <cellStyle name="Normal 8 3 2 2" xfId="335"/>
    <cellStyle name="Normal 8 3 3" xfId="368"/>
    <cellStyle name="Normal 8 3 3 2" xfId="458"/>
    <cellStyle name="Normal 8 4" xfId="336"/>
    <cellStyle name="Normal 8 4 2" xfId="337"/>
    <cellStyle name="Normal 9" xfId="25"/>
    <cellStyle name="Normal 9 2" xfId="338"/>
    <cellStyle name="Normal 9 2 2" xfId="339"/>
    <cellStyle name="Normal 9 2 2 2" xfId="340"/>
    <cellStyle name="Normal 9 2 3" xfId="341"/>
    <cellStyle name="Normal 9 2 4" xfId="369"/>
    <cellStyle name="Normal 9 2 4 2" xfId="459"/>
    <cellStyle name="Normal 9 3" xfId="342"/>
    <cellStyle name="Normal 9 3 2" xfId="343"/>
    <cellStyle name="Normal_rptFundingDiscrepancies" xfId="378"/>
    <cellStyle name="Normal_Sheet1" xfId="344"/>
    <cellStyle name="Normal_Sheet1 2 2" xfId="345"/>
    <cellStyle name="Normal_Sheet1 2 3" xfId="379"/>
    <cellStyle name="Normal_Sheet2_1" xfId="529"/>
    <cellStyle name="Note 2" xfId="347"/>
    <cellStyle name="Note 2 2" xfId="348"/>
    <cellStyle name="Note 2 3" xfId="460"/>
    <cellStyle name="Note 3" xfId="349"/>
    <cellStyle name="Note 4" xfId="346"/>
    <cellStyle name="Note 4 2" xfId="451"/>
    <cellStyle name="Note 5" xfId="394"/>
    <cellStyle name="Output" xfId="404" builtinId="21" customBuiltin="1"/>
    <cellStyle name="Output 2" xfId="351"/>
    <cellStyle name="Output 3" xfId="352"/>
    <cellStyle name="Output 4" xfId="350"/>
    <cellStyle name="Title" xfId="395" builtinId="15" customBuiltin="1"/>
    <cellStyle name="Title 2" xfId="354"/>
    <cellStyle name="Title 3" xfId="355"/>
    <cellStyle name="Title 4" xfId="353"/>
    <cellStyle name="Total" xfId="410" builtinId="25" customBuiltin="1"/>
    <cellStyle name="Total 2" xfId="357"/>
    <cellStyle name="Total 3" xfId="358"/>
    <cellStyle name="Total 4" xfId="356"/>
    <cellStyle name="Warning Text" xfId="408" builtinId="11" customBuiltin="1"/>
    <cellStyle name="Warning Text 2" xfId="360"/>
    <cellStyle name="Warning Text 3" xfId="361"/>
    <cellStyle name="Warning Text 4" xfId="359"/>
  </cellStyles>
  <dxfs count="0"/>
  <tableStyles count="0" defaultTableStyle="TableStyleMedium2" defaultPivotStyle="PivotStyleLight16"/>
  <colors>
    <mruColors>
      <color rgb="FF00FF00"/>
      <color rgb="FF00FFFF"/>
      <color rgb="FFFF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CHA-FPS-01\Vol2\PaymentBancServices\Daily%20Funding\Discrepancy%20Reports\05182016%20-%2005242016%20Discrep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mc:AlternateContent xmlns:mc="http://schemas.openxmlformats.org/markup-compatibility/2006">
        <mc:Choice Requires="x14">
          <x14:oleItem name="!rptFundingDiscrepancies!R508C9:R508C13" advise="1">
            <x14:values cols="5">
              <value t="str">
                <val>Voided $106.95, Rec'vd $77.01, Fin Adj $29.94</val>
              </value>
              <value t="nil">
                <val>1</val>
              </value>
              <value t="nil">
                <val>1</val>
              </value>
              <value t="nil">
                <val>1</val>
              </value>
              <value t="nil">
                <val>1</val>
              </value>
            </x14:values>
          </x14:oleItem>
        </mc:Choice>
        <mc:Fallback>
          <oleItem name="!rptFundingDiscrepancies!R508C9:R508C13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2"/>
  <sheetViews>
    <sheetView workbookViewId="0">
      <pane ySplit="1" topLeftCell="A100" activePane="bottomLeft" state="frozen"/>
      <selection pane="bottomLeft" activeCell="C52" sqref="C52"/>
    </sheetView>
  </sheetViews>
  <sheetFormatPr defaultColWidth="9.140625" defaultRowHeight="15" x14ac:dyDescent="0.25"/>
  <cols>
    <col min="1" max="1" width="21.28515625" style="388" customWidth="1"/>
    <col min="2" max="2" width="9.140625" style="11"/>
    <col min="3" max="3" width="28.85546875" style="11" customWidth="1"/>
    <col min="4" max="4" width="16.85546875" style="14" customWidth="1"/>
    <col min="5" max="5" width="9.140625" style="378"/>
    <col min="6" max="6" width="11.140625" style="11" customWidth="1"/>
    <col min="7" max="7" width="9.140625" style="389"/>
    <col min="8" max="8" width="14.7109375" style="11" customWidth="1"/>
    <col min="9" max="9" width="9.140625" style="11"/>
    <col min="10" max="10" width="72.28515625" style="26" customWidth="1"/>
    <col min="11" max="15" width="9.140625" style="11"/>
    <col min="16" max="17" width="0" style="11" hidden="1" customWidth="1"/>
    <col min="18" max="16384" width="9.140625" style="11"/>
  </cols>
  <sheetData>
    <row r="1" spans="1:16" s="377" customFormat="1" ht="14.45" x14ac:dyDescent="0.3">
      <c r="A1" s="371" t="s">
        <v>228</v>
      </c>
      <c r="B1" s="372" t="s">
        <v>229</v>
      </c>
      <c r="C1" s="372" t="s">
        <v>230</v>
      </c>
      <c r="D1" s="373" t="s">
        <v>231</v>
      </c>
      <c r="E1" s="372" t="s">
        <v>232</v>
      </c>
      <c r="F1" s="374" t="s">
        <v>233</v>
      </c>
      <c r="G1" s="375" t="s">
        <v>234</v>
      </c>
      <c r="H1" s="376" t="s">
        <v>235</v>
      </c>
      <c r="I1" s="372"/>
      <c r="J1" s="327" t="s">
        <v>236</v>
      </c>
    </row>
    <row r="2" spans="1:16" ht="14.45" hidden="1" x14ac:dyDescent="0.3">
      <c r="A2" s="6" t="s">
        <v>258</v>
      </c>
      <c r="B2" s="8" t="s">
        <v>0</v>
      </c>
      <c r="C2" s="10"/>
      <c r="D2" s="9" t="s">
        <v>51</v>
      </c>
      <c r="E2" s="4">
        <v>350433</v>
      </c>
      <c r="F2" s="30" t="s">
        <v>52</v>
      </c>
      <c r="G2" s="25">
        <v>97.49</v>
      </c>
      <c r="H2" s="378">
        <v>2059713</v>
      </c>
      <c r="I2" s="10"/>
      <c r="J2" s="327" t="s">
        <v>4383</v>
      </c>
      <c r="K2" s="10"/>
      <c r="L2" s="10"/>
    </row>
    <row r="3" spans="1:16" ht="14.45" hidden="1" x14ac:dyDescent="0.3">
      <c r="A3" s="6" t="s">
        <v>258</v>
      </c>
      <c r="B3" s="8" t="s">
        <v>0</v>
      </c>
      <c r="C3" s="10"/>
      <c r="D3" s="9" t="s">
        <v>53</v>
      </c>
      <c r="E3" s="4">
        <v>352310</v>
      </c>
      <c r="F3" s="30" t="s">
        <v>54</v>
      </c>
      <c r="G3" s="25">
        <v>55.84</v>
      </c>
      <c r="H3" s="378">
        <v>2059712</v>
      </c>
      <c r="I3" s="10"/>
      <c r="J3" s="327" t="s">
        <v>4383</v>
      </c>
      <c r="K3" s="10"/>
      <c r="L3" s="10"/>
    </row>
    <row r="4" spans="1:16" ht="14.45" hidden="1" x14ac:dyDescent="0.3">
      <c r="A4" s="6" t="s">
        <v>259</v>
      </c>
      <c r="B4" s="8" t="s">
        <v>0</v>
      </c>
      <c r="C4" s="10"/>
      <c r="D4" s="9" t="s">
        <v>56</v>
      </c>
      <c r="E4" s="22">
        <v>81325</v>
      </c>
      <c r="F4" s="30" t="s">
        <v>57</v>
      </c>
      <c r="G4" s="25">
        <v>0.01</v>
      </c>
      <c r="H4" s="378">
        <v>2000036</v>
      </c>
      <c r="I4" s="10"/>
      <c r="J4" s="327" t="s">
        <v>4383</v>
      </c>
      <c r="K4" s="10"/>
      <c r="L4" s="10"/>
      <c r="M4" s="10"/>
      <c r="N4" s="10"/>
      <c r="O4" s="10"/>
    </row>
    <row r="5" spans="1:16" ht="14.45" hidden="1" x14ac:dyDescent="0.3">
      <c r="A5" s="102" t="s">
        <v>260</v>
      </c>
      <c r="B5" s="14" t="s">
        <v>58</v>
      </c>
      <c r="C5" s="13"/>
      <c r="D5" s="9" t="s">
        <v>59</v>
      </c>
      <c r="E5" s="26">
        <v>350569</v>
      </c>
      <c r="F5" s="32" t="s">
        <v>60</v>
      </c>
      <c r="G5" s="25">
        <v>118.95</v>
      </c>
      <c r="H5" s="378">
        <v>2118699</v>
      </c>
      <c r="J5" s="327" t="s">
        <v>4383</v>
      </c>
    </row>
    <row r="6" spans="1:16" ht="14.45" hidden="1" x14ac:dyDescent="0.3">
      <c r="A6" s="102" t="s">
        <v>260</v>
      </c>
      <c r="B6" s="14" t="s">
        <v>58</v>
      </c>
      <c r="C6" s="13"/>
      <c r="D6" s="9" t="s">
        <v>62</v>
      </c>
      <c r="E6" s="26">
        <v>219793</v>
      </c>
      <c r="F6" s="32" t="s">
        <v>63</v>
      </c>
      <c r="G6" s="25">
        <v>79.319999999999993</v>
      </c>
      <c r="H6" s="378">
        <v>2109414</v>
      </c>
      <c r="J6" s="327" t="s">
        <v>4383</v>
      </c>
    </row>
    <row r="7" spans="1:16" ht="14.45" hidden="1" x14ac:dyDescent="0.3">
      <c r="A7" s="102" t="s">
        <v>260</v>
      </c>
      <c r="B7" s="14" t="s">
        <v>58</v>
      </c>
      <c r="C7" s="13"/>
      <c r="D7" s="9" t="s">
        <v>64</v>
      </c>
      <c r="E7" s="26">
        <v>351484</v>
      </c>
      <c r="F7" s="32" t="s">
        <v>65</v>
      </c>
      <c r="G7" s="25">
        <v>25.57</v>
      </c>
      <c r="H7" s="378">
        <v>2116850</v>
      </c>
      <c r="J7" s="327" t="s">
        <v>4383</v>
      </c>
    </row>
    <row r="8" spans="1:16" ht="14.45" hidden="1" x14ac:dyDescent="0.3">
      <c r="A8" s="102" t="s">
        <v>260</v>
      </c>
      <c r="B8" s="14" t="s">
        <v>58</v>
      </c>
      <c r="C8" s="13"/>
      <c r="D8" s="9" t="s">
        <v>66</v>
      </c>
      <c r="E8" s="26">
        <v>214930</v>
      </c>
      <c r="F8" s="32" t="s">
        <v>67</v>
      </c>
      <c r="G8" s="25">
        <v>37.130000000000003</v>
      </c>
      <c r="H8" s="378">
        <v>2118060</v>
      </c>
      <c r="J8" s="327" t="s">
        <v>4383</v>
      </c>
    </row>
    <row r="9" spans="1:16" ht="14.45" hidden="1" x14ac:dyDescent="0.3">
      <c r="A9" s="102" t="s">
        <v>260</v>
      </c>
      <c r="B9" s="14" t="s">
        <v>58</v>
      </c>
      <c r="C9" s="13"/>
      <c r="D9" s="9" t="s">
        <v>68</v>
      </c>
      <c r="E9" s="26">
        <v>351621</v>
      </c>
      <c r="F9" s="32" t="s">
        <v>69</v>
      </c>
      <c r="G9" s="25">
        <v>34.9</v>
      </c>
      <c r="H9" s="378">
        <v>2112595</v>
      </c>
      <c r="J9" s="327" t="s">
        <v>4383</v>
      </c>
    </row>
    <row r="10" spans="1:16" ht="14.45" hidden="1" x14ac:dyDescent="0.3">
      <c r="A10" s="102" t="s">
        <v>260</v>
      </c>
      <c r="B10" s="14" t="s">
        <v>58</v>
      </c>
      <c r="C10" s="13"/>
      <c r="D10" s="9" t="s">
        <v>70</v>
      </c>
      <c r="E10" s="26">
        <v>350275</v>
      </c>
      <c r="F10" s="32" t="s">
        <v>71</v>
      </c>
      <c r="G10" s="25">
        <v>-90.26</v>
      </c>
      <c r="H10" s="378">
        <v>2033643</v>
      </c>
      <c r="J10" s="327" t="s">
        <v>4383</v>
      </c>
    </row>
    <row r="11" spans="1:16" ht="14.45" hidden="1" x14ac:dyDescent="0.3">
      <c r="A11" s="102" t="s">
        <v>260</v>
      </c>
      <c r="B11" s="14" t="s">
        <v>58</v>
      </c>
      <c r="C11" s="13"/>
      <c r="D11" s="9">
        <v>376271079992</v>
      </c>
      <c r="E11" s="26">
        <v>351329</v>
      </c>
      <c r="F11" s="32" t="s">
        <v>74</v>
      </c>
      <c r="G11" s="25">
        <v>101.24</v>
      </c>
      <c r="H11" s="378">
        <v>2118348</v>
      </c>
      <c r="J11" s="327" t="s">
        <v>4383</v>
      </c>
    </row>
    <row r="12" spans="1:16" ht="14.45" hidden="1" x14ac:dyDescent="0.3">
      <c r="A12" s="102" t="s">
        <v>260</v>
      </c>
      <c r="B12" s="14" t="s">
        <v>58</v>
      </c>
      <c r="C12" s="13"/>
      <c r="D12" s="9" t="s">
        <v>75</v>
      </c>
      <c r="E12" s="26">
        <v>350332</v>
      </c>
      <c r="F12" s="32" t="s">
        <v>76</v>
      </c>
      <c r="G12" s="25">
        <v>9.26</v>
      </c>
      <c r="H12" s="378">
        <v>2116701</v>
      </c>
      <c r="J12" s="327" t="s">
        <v>4383</v>
      </c>
    </row>
    <row r="13" spans="1:16" ht="14.45" hidden="1" x14ac:dyDescent="0.3">
      <c r="A13" s="102" t="s">
        <v>260</v>
      </c>
      <c r="B13" s="14" t="s">
        <v>58</v>
      </c>
      <c r="C13" s="13"/>
      <c r="D13" s="9" t="s">
        <v>77</v>
      </c>
      <c r="E13" s="26">
        <v>351085</v>
      </c>
      <c r="F13" s="32" t="s">
        <v>78</v>
      </c>
      <c r="G13" s="25">
        <v>30.56</v>
      </c>
      <c r="H13" s="378">
        <v>2117476</v>
      </c>
      <c r="J13" s="327" t="s">
        <v>4383</v>
      </c>
    </row>
    <row r="14" spans="1:16" ht="14.45" hidden="1" x14ac:dyDescent="0.3">
      <c r="A14" s="102" t="s">
        <v>260</v>
      </c>
      <c r="B14" s="14" t="s">
        <v>58</v>
      </c>
      <c r="C14" s="13"/>
      <c r="D14" s="9" t="s">
        <v>79</v>
      </c>
      <c r="E14" s="26">
        <v>351891</v>
      </c>
      <c r="F14" s="32" t="s">
        <v>80</v>
      </c>
      <c r="G14" s="25">
        <v>39.46</v>
      </c>
      <c r="H14" s="378">
        <v>2118100</v>
      </c>
      <c r="J14" s="327" t="s">
        <v>4383</v>
      </c>
      <c r="P14" s="11" t="s">
        <v>82</v>
      </c>
    </row>
    <row r="15" spans="1:16" ht="14.45" hidden="1" x14ac:dyDescent="0.3">
      <c r="A15" s="102" t="s">
        <v>260</v>
      </c>
      <c r="B15" s="14" t="s">
        <v>0</v>
      </c>
      <c r="C15" s="13"/>
      <c r="D15" s="9" t="s">
        <v>83</v>
      </c>
      <c r="E15" s="26">
        <v>352283</v>
      </c>
      <c r="F15" s="32" t="s">
        <v>84</v>
      </c>
      <c r="G15" s="25">
        <v>58.75</v>
      </c>
      <c r="H15" s="378">
        <v>2112919</v>
      </c>
      <c r="J15" s="327" t="s">
        <v>4383</v>
      </c>
    </row>
    <row r="16" spans="1:16" ht="14.45" hidden="1" x14ac:dyDescent="0.3">
      <c r="A16" s="102" t="s">
        <v>260</v>
      </c>
      <c r="B16" s="14" t="s">
        <v>0</v>
      </c>
      <c r="C16" s="13"/>
      <c r="D16" s="9" t="s">
        <v>86</v>
      </c>
      <c r="E16" s="26">
        <v>212136</v>
      </c>
      <c r="F16" s="32" t="s">
        <v>87</v>
      </c>
      <c r="G16" s="25">
        <v>56</v>
      </c>
      <c r="H16" s="378">
        <v>2119156</v>
      </c>
      <c r="J16" s="327" t="s">
        <v>4383</v>
      </c>
    </row>
    <row r="17" spans="1:17" ht="14.45" hidden="1" x14ac:dyDescent="0.3">
      <c r="A17" s="102" t="s">
        <v>260</v>
      </c>
      <c r="B17" s="14" t="s">
        <v>0</v>
      </c>
      <c r="C17" s="13"/>
      <c r="D17" s="9" t="s">
        <v>56</v>
      </c>
      <c r="E17" s="26">
        <v>81325</v>
      </c>
      <c r="F17" s="32" t="s">
        <v>88</v>
      </c>
      <c r="G17" s="25">
        <v>2</v>
      </c>
      <c r="H17" s="378">
        <v>2000050</v>
      </c>
      <c r="J17" s="327" t="s">
        <v>4383</v>
      </c>
    </row>
    <row r="18" spans="1:17" ht="14.45" hidden="1" x14ac:dyDescent="0.3">
      <c r="A18" s="102" t="s">
        <v>260</v>
      </c>
      <c r="B18" s="14" t="s">
        <v>0</v>
      </c>
      <c r="C18" s="13"/>
      <c r="D18" s="9" t="s">
        <v>56</v>
      </c>
      <c r="E18" s="26">
        <v>81325</v>
      </c>
      <c r="F18" s="32" t="s">
        <v>89</v>
      </c>
      <c r="G18" s="25">
        <v>1.1599999999999999</v>
      </c>
      <c r="H18" s="378">
        <v>2000053</v>
      </c>
      <c r="J18" s="327" t="s">
        <v>4383</v>
      </c>
    </row>
    <row r="19" spans="1:17" ht="14.45" hidden="1" x14ac:dyDescent="0.3">
      <c r="A19" s="102" t="s">
        <v>260</v>
      </c>
      <c r="B19" s="14" t="s">
        <v>0</v>
      </c>
      <c r="C19" s="13"/>
      <c r="D19" s="9" t="s">
        <v>56</v>
      </c>
      <c r="E19" s="26">
        <v>81325</v>
      </c>
      <c r="F19" s="32" t="s">
        <v>90</v>
      </c>
      <c r="G19" s="25">
        <v>5.28</v>
      </c>
      <c r="H19" s="378">
        <v>2000055</v>
      </c>
      <c r="J19" s="327" t="s">
        <v>4383</v>
      </c>
    </row>
    <row r="20" spans="1:17" ht="14.45" hidden="1" x14ac:dyDescent="0.3">
      <c r="A20" s="102" t="s">
        <v>260</v>
      </c>
      <c r="B20" s="14" t="s">
        <v>0</v>
      </c>
      <c r="C20" s="13"/>
      <c r="D20" s="9" t="s">
        <v>91</v>
      </c>
      <c r="E20" s="26">
        <v>350259</v>
      </c>
      <c r="F20" s="32" t="s">
        <v>92</v>
      </c>
      <c r="G20" s="25">
        <v>-108.71</v>
      </c>
      <c r="H20" s="378">
        <v>2117312</v>
      </c>
      <c r="J20" s="327" t="s">
        <v>4383</v>
      </c>
    </row>
    <row r="21" spans="1:17" ht="14.45" hidden="1" x14ac:dyDescent="0.3">
      <c r="A21" s="102" t="s">
        <v>261</v>
      </c>
      <c r="B21" s="14" t="s">
        <v>0</v>
      </c>
      <c r="C21" s="13"/>
      <c r="D21" s="9" t="s">
        <v>94</v>
      </c>
      <c r="E21" s="26">
        <v>350522</v>
      </c>
      <c r="F21" s="32" t="s">
        <v>95</v>
      </c>
      <c r="G21" s="25">
        <v>-73.930000000000007</v>
      </c>
      <c r="H21" s="378">
        <v>2113732</v>
      </c>
      <c r="J21" s="327" t="s">
        <v>4383</v>
      </c>
    </row>
    <row r="22" spans="1:17" ht="14.45" hidden="1" x14ac:dyDescent="0.3">
      <c r="A22" s="102" t="s">
        <v>261</v>
      </c>
      <c r="B22" s="14" t="s">
        <v>0</v>
      </c>
      <c r="C22" s="13"/>
      <c r="D22" s="9">
        <v>376264202999</v>
      </c>
      <c r="E22" s="26">
        <v>350361</v>
      </c>
      <c r="F22" s="32" t="s">
        <v>97</v>
      </c>
      <c r="G22" s="25">
        <v>-26.13</v>
      </c>
      <c r="H22" s="378">
        <v>2108670</v>
      </c>
      <c r="J22" s="327" t="s">
        <v>4383</v>
      </c>
    </row>
    <row r="23" spans="1:17" ht="14.45" hidden="1" x14ac:dyDescent="0.3">
      <c r="A23" s="102" t="s">
        <v>261</v>
      </c>
      <c r="B23" s="14" t="s">
        <v>0</v>
      </c>
      <c r="C23" s="13"/>
      <c r="D23" s="9" t="s">
        <v>98</v>
      </c>
      <c r="E23" s="26">
        <v>221254</v>
      </c>
      <c r="F23" s="32" t="s">
        <v>99</v>
      </c>
      <c r="G23" s="25">
        <v>-67.959999999999994</v>
      </c>
      <c r="H23" s="378">
        <v>2116065</v>
      </c>
      <c r="J23" s="327" t="s">
        <v>4383</v>
      </c>
    </row>
    <row r="24" spans="1:17" ht="14.45" hidden="1" x14ac:dyDescent="0.3">
      <c r="A24" s="102" t="s">
        <v>261</v>
      </c>
      <c r="B24" s="14" t="s">
        <v>0</v>
      </c>
      <c r="C24" s="13"/>
      <c r="D24" s="9" t="s">
        <v>100</v>
      </c>
      <c r="E24" s="26">
        <v>351278</v>
      </c>
      <c r="F24" s="32" t="s">
        <v>101</v>
      </c>
      <c r="G24" s="25">
        <v>-65.41</v>
      </c>
      <c r="H24" s="378">
        <v>2116041</v>
      </c>
      <c r="J24" s="327" t="s">
        <v>4383</v>
      </c>
    </row>
    <row r="25" spans="1:17" ht="14.45" hidden="1" x14ac:dyDescent="0.3">
      <c r="A25" s="102" t="s">
        <v>261</v>
      </c>
      <c r="B25" s="14" t="s">
        <v>0</v>
      </c>
      <c r="C25" s="13"/>
      <c r="D25" s="9" t="s">
        <v>102</v>
      </c>
      <c r="E25" s="26">
        <v>213054</v>
      </c>
      <c r="F25" s="32" t="s">
        <v>103</v>
      </c>
      <c r="G25" s="25">
        <v>-58.26</v>
      </c>
      <c r="H25" s="378">
        <v>2113648</v>
      </c>
      <c r="J25" s="327" t="s">
        <v>4383</v>
      </c>
    </row>
    <row r="26" spans="1:17" ht="14.45" hidden="1" x14ac:dyDescent="0.3">
      <c r="A26" s="102" t="s">
        <v>261</v>
      </c>
      <c r="B26" s="14" t="s">
        <v>0</v>
      </c>
      <c r="C26" s="13"/>
      <c r="D26" s="9" t="s">
        <v>83</v>
      </c>
      <c r="E26" s="26">
        <v>352283</v>
      </c>
      <c r="F26" s="32" t="s">
        <v>84</v>
      </c>
      <c r="G26" s="25">
        <v>-58.75</v>
      </c>
      <c r="H26" s="378">
        <v>2112919</v>
      </c>
      <c r="J26" s="327" t="s">
        <v>4383</v>
      </c>
    </row>
    <row r="27" spans="1:17" ht="14.45" hidden="1" x14ac:dyDescent="0.3">
      <c r="A27" s="102" t="s">
        <v>261</v>
      </c>
      <c r="B27" s="14" t="s">
        <v>0</v>
      </c>
      <c r="C27" s="13"/>
      <c r="D27" s="9" t="s">
        <v>104</v>
      </c>
      <c r="E27" s="26">
        <v>350427</v>
      </c>
      <c r="F27" s="32" t="s">
        <v>105</v>
      </c>
      <c r="G27" s="25">
        <v>-41.61</v>
      </c>
      <c r="H27" s="378">
        <v>2116345</v>
      </c>
      <c r="J27" s="327" t="s">
        <v>4383</v>
      </c>
    </row>
    <row r="28" spans="1:17" ht="14.45" hidden="1" x14ac:dyDescent="0.3">
      <c r="A28" s="102" t="s">
        <v>261</v>
      </c>
      <c r="B28" s="14" t="s">
        <v>0</v>
      </c>
      <c r="C28" s="13"/>
      <c r="D28" s="9" t="s">
        <v>106</v>
      </c>
      <c r="E28" s="26">
        <v>350557</v>
      </c>
      <c r="F28" s="32" t="s">
        <v>107</v>
      </c>
      <c r="G28" s="25">
        <v>-149.75</v>
      </c>
      <c r="H28" s="378">
        <v>2115336</v>
      </c>
      <c r="J28" s="327" t="s">
        <v>4383</v>
      </c>
    </row>
    <row r="29" spans="1:17" ht="14.45" hidden="1" x14ac:dyDescent="0.3">
      <c r="A29" s="102" t="s">
        <v>261</v>
      </c>
      <c r="B29" s="14" t="s">
        <v>0</v>
      </c>
      <c r="C29" s="13"/>
      <c r="D29" s="9" t="s">
        <v>108</v>
      </c>
      <c r="E29" s="26">
        <v>350417</v>
      </c>
      <c r="F29" s="32" t="s">
        <v>109</v>
      </c>
      <c r="G29" s="25">
        <v>-35.18</v>
      </c>
      <c r="H29" s="378">
        <v>2097338</v>
      </c>
      <c r="J29" s="327" t="s">
        <v>4383</v>
      </c>
    </row>
    <row r="30" spans="1:17" ht="14.45" hidden="1" x14ac:dyDescent="0.3">
      <c r="A30" s="102" t="s">
        <v>261</v>
      </c>
      <c r="B30" s="14" t="s">
        <v>0</v>
      </c>
      <c r="C30" s="13"/>
      <c r="D30" s="9">
        <v>376272133996</v>
      </c>
      <c r="E30" s="26">
        <v>351621</v>
      </c>
      <c r="F30" s="32" t="s">
        <v>69</v>
      </c>
      <c r="G30" s="25">
        <v>-34.9</v>
      </c>
      <c r="H30" s="378">
        <v>2112595</v>
      </c>
      <c r="J30" s="327" t="s">
        <v>4383</v>
      </c>
    </row>
    <row r="31" spans="1:17" ht="14.45" hidden="1" x14ac:dyDescent="0.3">
      <c r="A31" s="102" t="s">
        <v>261</v>
      </c>
      <c r="B31" s="14" t="s">
        <v>0</v>
      </c>
      <c r="C31" s="13"/>
      <c r="D31" s="9" t="s">
        <v>110</v>
      </c>
      <c r="E31" s="26">
        <v>350419</v>
      </c>
      <c r="F31" s="32" t="s">
        <v>111</v>
      </c>
      <c r="G31" s="25">
        <v>-37.36</v>
      </c>
      <c r="H31" s="378">
        <v>2118767</v>
      </c>
      <c r="J31" s="327" t="s">
        <v>4383</v>
      </c>
    </row>
    <row r="32" spans="1:17" hidden="1" x14ac:dyDescent="0.25">
      <c r="A32" s="102" t="s">
        <v>261</v>
      </c>
      <c r="B32" s="14" t="s">
        <v>0</v>
      </c>
      <c r="C32" s="13"/>
      <c r="D32" s="9" t="s">
        <v>112</v>
      </c>
      <c r="E32" s="26">
        <v>350818</v>
      </c>
      <c r="F32" s="32" t="s">
        <v>113</v>
      </c>
      <c r="G32" s="25">
        <v>-68.81</v>
      </c>
      <c r="H32" s="378">
        <v>2113249</v>
      </c>
      <c r="J32" s="327" t="s">
        <v>4383</v>
      </c>
      <c r="P32" s="11">
        <v>68.81</v>
      </c>
      <c r="Q32" s="13" t="s">
        <v>114</v>
      </c>
    </row>
    <row r="33" spans="1:14" hidden="1" x14ac:dyDescent="0.25">
      <c r="A33" s="102" t="s">
        <v>262</v>
      </c>
      <c r="B33" s="14" t="s">
        <v>58</v>
      </c>
      <c r="C33" s="13"/>
      <c r="D33" s="9" t="s">
        <v>115</v>
      </c>
      <c r="E33" s="26">
        <v>351425</v>
      </c>
      <c r="F33" s="32" t="s">
        <v>116</v>
      </c>
      <c r="G33" s="25">
        <v>84.95</v>
      </c>
      <c r="H33" s="378">
        <v>2165161</v>
      </c>
      <c r="J33" s="327" t="s">
        <v>4383</v>
      </c>
    </row>
    <row r="34" spans="1:14" hidden="1" x14ac:dyDescent="0.25">
      <c r="A34" s="6" t="s">
        <v>263</v>
      </c>
      <c r="B34" s="8" t="s">
        <v>0</v>
      </c>
      <c r="C34" s="10"/>
      <c r="D34" s="9">
        <v>376211771997</v>
      </c>
      <c r="E34" s="34">
        <v>201372</v>
      </c>
      <c r="F34" s="30" t="s">
        <v>118</v>
      </c>
      <c r="G34" s="25">
        <v>48.39</v>
      </c>
      <c r="H34" s="378">
        <v>2383910</v>
      </c>
      <c r="I34" s="10"/>
      <c r="J34" s="327" t="s">
        <v>4383</v>
      </c>
    </row>
    <row r="35" spans="1:14" hidden="1" x14ac:dyDescent="0.25">
      <c r="A35" s="6" t="s">
        <v>263</v>
      </c>
      <c r="B35" s="8" t="s">
        <v>0</v>
      </c>
      <c r="C35" s="10"/>
      <c r="D35" s="9">
        <v>376211771997</v>
      </c>
      <c r="E35" s="34">
        <v>201372</v>
      </c>
      <c r="F35" s="30" t="s">
        <v>119</v>
      </c>
      <c r="G35" s="25">
        <v>147.94999999999999</v>
      </c>
      <c r="H35" s="378">
        <v>2388200</v>
      </c>
      <c r="I35" s="10"/>
      <c r="J35" s="327" t="s">
        <v>4383</v>
      </c>
    </row>
    <row r="36" spans="1:14" hidden="1" x14ac:dyDescent="0.25">
      <c r="A36" s="6" t="s">
        <v>263</v>
      </c>
      <c r="B36" s="8" t="s">
        <v>0</v>
      </c>
      <c r="C36" s="10"/>
      <c r="D36" s="9">
        <v>376211771997</v>
      </c>
      <c r="E36" s="34">
        <v>201372</v>
      </c>
      <c r="F36" s="30" t="s">
        <v>120</v>
      </c>
      <c r="G36" s="25">
        <v>125.95</v>
      </c>
      <c r="H36" s="378">
        <v>2388412</v>
      </c>
      <c r="I36" s="10"/>
      <c r="J36" s="327" t="s">
        <v>4383</v>
      </c>
    </row>
    <row r="37" spans="1:14" hidden="1" x14ac:dyDescent="0.25">
      <c r="A37" s="6" t="s">
        <v>263</v>
      </c>
      <c r="B37" s="8" t="s">
        <v>58</v>
      </c>
      <c r="C37" s="10"/>
      <c r="D37" s="9">
        <v>376230873998</v>
      </c>
      <c r="E37" s="34">
        <v>226205</v>
      </c>
      <c r="F37" s="30" t="s">
        <v>207</v>
      </c>
      <c r="G37" s="25">
        <v>104.95</v>
      </c>
      <c r="H37" s="378">
        <v>2372639</v>
      </c>
      <c r="I37" s="10"/>
      <c r="J37" s="327" t="s">
        <v>4383</v>
      </c>
    </row>
    <row r="38" spans="1:14" hidden="1" x14ac:dyDescent="0.25">
      <c r="A38" s="6" t="s">
        <v>264</v>
      </c>
      <c r="B38" s="8" t="s">
        <v>121</v>
      </c>
      <c r="C38" s="10"/>
      <c r="D38" s="9" t="s">
        <v>122</v>
      </c>
      <c r="E38" s="35">
        <v>201372</v>
      </c>
      <c r="F38" s="30" t="s">
        <v>123</v>
      </c>
      <c r="G38" s="25">
        <v>112.95</v>
      </c>
      <c r="H38" s="378">
        <v>2388804</v>
      </c>
      <c r="I38" s="10"/>
      <c r="J38" s="327" t="s">
        <v>4383</v>
      </c>
      <c r="K38" s="10"/>
      <c r="L38" s="10"/>
      <c r="M38" s="10"/>
      <c r="N38" s="10"/>
    </row>
    <row r="39" spans="1:14" hidden="1" x14ac:dyDescent="0.25">
      <c r="A39" s="6" t="s">
        <v>264</v>
      </c>
      <c r="B39" s="8" t="s">
        <v>121</v>
      </c>
      <c r="C39" s="10"/>
      <c r="D39" s="9" t="s">
        <v>122</v>
      </c>
      <c r="E39" s="35">
        <v>201372</v>
      </c>
      <c r="F39" s="30" t="s">
        <v>125</v>
      </c>
      <c r="G39" s="25">
        <v>64.56</v>
      </c>
      <c r="H39" s="378">
        <v>2388207</v>
      </c>
      <c r="I39" s="10"/>
      <c r="J39" s="327" t="s">
        <v>4383</v>
      </c>
      <c r="K39" s="10"/>
      <c r="L39" s="10"/>
      <c r="M39" s="10"/>
      <c r="N39" s="10"/>
    </row>
    <row r="40" spans="1:14" hidden="1" x14ac:dyDescent="0.25">
      <c r="A40" s="6" t="s">
        <v>264</v>
      </c>
      <c r="B40" s="8" t="s">
        <v>121</v>
      </c>
      <c r="C40" s="10"/>
      <c r="D40" s="9" t="s">
        <v>122</v>
      </c>
      <c r="E40" s="35">
        <v>201372</v>
      </c>
      <c r="F40" s="30" t="s">
        <v>126</v>
      </c>
      <c r="G40" s="25">
        <v>63.13</v>
      </c>
      <c r="H40" s="378">
        <v>2389184</v>
      </c>
      <c r="I40" s="10"/>
      <c r="J40" s="327" t="s">
        <v>4383</v>
      </c>
      <c r="K40" s="10"/>
      <c r="L40" s="10"/>
      <c r="M40" s="10"/>
      <c r="N40" s="10"/>
    </row>
    <row r="41" spans="1:14" hidden="1" x14ac:dyDescent="0.25">
      <c r="A41" s="6" t="s">
        <v>265</v>
      </c>
      <c r="B41" s="13" t="s">
        <v>58</v>
      </c>
      <c r="C41" s="13"/>
      <c r="D41" s="112" t="s">
        <v>269</v>
      </c>
      <c r="E41" s="26">
        <v>216328</v>
      </c>
      <c r="F41" s="26" t="s">
        <v>270</v>
      </c>
      <c r="G41" s="25">
        <v>57.73</v>
      </c>
      <c r="H41" s="378">
        <v>2511319</v>
      </c>
      <c r="J41" s="327" t="s">
        <v>4383</v>
      </c>
    </row>
    <row r="42" spans="1:14" hidden="1" x14ac:dyDescent="0.25">
      <c r="A42" s="6" t="s">
        <v>265</v>
      </c>
      <c r="B42" s="8" t="s">
        <v>0</v>
      </c>
      <c r="C42" s="10"/>
      <c r="D42" s="9" t="s">
        <v>195</v>
      </c>
      <c r="E42" s="4">
        <v>352746</v>
      </c>
      <c r="F42" s="4"/>
      <c r="G42" s="25">
        <v>-64</v>
      </c>
      <c r="H42" s="378"/>
      <c r="I42" s="10"/>
      <c r="J42" s="327" t="s">
        <v>4383</v>
      </c>
    </row>
    <row r="43" spans="1:14" hidden="1" x14ac:dyDescent="0.25">
      <c r="A43" s="6" t="s">
        <v>4381</v>
      </c>
      <c r="B43" s="8" t="s">
        <v>4382</v>
      </c>
      <c r="C43" s="10"/>
      <c r="D43" s="9">
        <v>376211807999</v>
      </c>
      <c r="E43" s="4">
        <v>215226</v>
      </c>
      <c r="F43" s="4"/>
      <c r="G43" s="25">
        <v>-526.13</v>
      </c>
      <c r="H43" s="378"/>
      <c r="I43" s="10"/>
      <c r="J43" s="327" t="s">
        <v>4383</v>
      </c>
    </row>
    <row r="44" spans="1:14" hidden="1" x14ac:dyDescent="0.25">
      <c r="A44" s="6" t="s">
        <v>4384</v>
      </c>
      <c r="B44" s="8" t="s">
        <v>4382</v>
      </c>
      <c r="C44" s="10"/>
      <c r="D44" s="9">
        <v>376245309996</v>
      </c>
      <c r="E44" s="4">
        <v>226792</v>
      </c>
      <c r="F44" s="4"/>
      <c r="G44" s="25">
        <v>-234.95</v>
      </c>
      <c r="H44" s="378"/>
      <c r="I44" s="10"/>
      <c r="J44" s="327" t="s">
        <v>4383</v>
      </c>
    </row>
    <row r="45" spans="1:14" hidden="1" x14ac:dyDescent="0.25">
      <c r="A45" s="6" t="s">
        <v>4381</v>
      </c>
      <c r="B45" s="8" t="s">
        <v>4382</v>
      </c>
      <c r="C45" s="10"/>
      <c r="D45" s="9" t="s">
        <v>4385</v>
      </c>
      <c r="E45" s="4"/>
      <c r="F45" s="4"/>
      <c r="G45" s="25">
        <v>17.3</v>
      </c>
      <c r="H45" s="378" t="s">
        <v>4385</v>
      </c>
      <c r="I45" s="10"/>
      <c r="J45" s="327" t="s">
        <v>4383</v>
      </c>
    </row>
    <row r="46" spans="1:14" x14ac:dyDescent="0.25">
      <c r="A46" s="367" t="s">
        <v>2022</v>
      </c>
      <c r="B46" s="13" t="s">
        <v>0</v>
      </c>
      <c r="D46" s="25" t="s">
        <v>2027</v>
      </c>
      <c r="E46" s="26">
        <v>352077</v>
      </c>
      <c r="F46" s="26">
        <v>761693</v>
      </c>
      <c r="G46" s="610">
        <v>23.41</v>
      </c>
      <c r="H46" s="378">
        <v>2761693</v>
      </c>
      <c r="J46" s="327" t="s">
        <v>6</v>
      </c>
    </row>
    <row r="47" spans="1:14" x14ac:dyDescent="0.25">
      <c r="A47" s="367" t="s">
        <v>2022</v>
      </c>
      <c r="B47" s="13" t="s">
        <v>0</v>
      </c>
      <c r="D47" s="317" t="s">
        <v>2036</v>
      </c>
      <c r="E47" s="26">
        <v>352290</v>
      </c>
      <c r="F47" s="26">
        <v>752177</v>
      </c>
      <c r="G47" s="610">
        <v>123.89</v>
      </c>
      <c r="H47" s="378">
        <v>2752177</v>
      </c>
      <c r="J47" s="327" t="s">
        <v>6</v>
      </c>
    </row>
    <row r="48" spans="1:14" x14ac:dyDescent="0.25">
      <c r="A48" s="367" t="s">
        <v>2022</v>
      </c>
      <c r="B48" s="13" t="s">
        <v>0</v>
      </c>
      <c r="D48" s="317" t="s">
        <v>2037</v>
      </c>
      <c r="E48" s="26">
        <v>350547</v>
      </c>
      <c r="F48" s="26">
        <v>769677</v>
      </c>
      <c r="G48" s="610">
        <v>224.01</v>
      </c>
      <c r="H48" s="378">
        <v>2769677</v>
      </c>
      <c r="J48" s="327" t="s">
        <v>6</v>
      </c>
    </row>
    <row r="49" spans="1:19" x14ac:dyDescent="0.25">
      <c r="A49" s="367" t="s">
        <v>2045</v>
      </c>
      <c r="B49" s="13" t="s">
        <v>0</v>
      </c>
      <c r="C49" s="13"/>
      <c r="D49" s="317" t="s">
        <v>2047</v>
      </c>
      <c r="E49" s="26">
        <v>215661</v>
      </c>
      <c r="F49" s="26">
        <v>783986</v>
      </c>
      <c r="G49" s="26">
        <v>70.95</v>
      </c>
      <c r="H49" s="378">
        <v>2783986</v>
      </c>
      <c r="J49" s="327" t="s">
        <v>6</v>
      </c>
    </row>
    <row r="50" spans="1:19" x14ac:dyDescent="0.25">
      <c r="A50" s="367" t="s">
        <v>2022</v>
      </c>
      <c r="B50" s="13" t="s">
        <v>2031</v>
      </c>
      <c r="D50" s="25" t="s">
        <v>2030</v>
      </c>
      <c r="E50" s="26">
        <v>226408</v>
      </c>
      <c r="F50" s="26"/>
      <c r="G50" s="610">
        <v>39.32</v>
      </c>
      <c r="H50" s="378">
        <v>2757184</v>
      </c>
      <c r="J50" s="327" t="s">
        <v>117</v>
      </c>
    </row>
    <row r="51" spans="1:19" x14ac:dyDescent="0.25">
      <c r="A51" s="367" t="s">
        <v>2022</v>
      </c>
      <c r="B51" s="13" t="s">
        <v>58</v>
      </c>
      <c r="D51" s="25" t="s">
        <v>2033</v>
      </c>
      <c r="E51" s="26">
        <v>351971</v>
      </c>
      <c r="F51" s="13"/>
      <c r="G51" s="25">
        <v>98.82</v>
      </c>
      <c r="H51" s="378">
        <v>2772288</v>
      </c>
      <c r="J51" s="327" t="s">
        <v>117</v>
      </c>
    </row>
    <row r="52" spans="1:19" x14ac:dyDescent="0.25">
      <c r="A52" s="367" t="s">
        <v>2022</v>
      </c>
      <c r="B52" s="13" t="s">
        <v>58</v>
      </c>
      <c r="D52" s="25" t="s">
        <v>2035</v>
      </c>
      <c r="E52" s="26">
        <v>350520</v>
      </c>
      <c r="F52" s="13"/>
      <c r="G52" s="25">
        <v>119.06</v>
      </c>
      <c r="H52" s="378">
        <v>2771835</v>
      </c>
      <c r="J52" s="327" t="s">
        <v>117</v>
      </c>
    </row>
    <row r="53" spans="1:19" ht="15" customHeight="1" x14ac:dyDescent="0.25">
      <c r="A53" s="379" t="s">
        <v>2099</v>
      </c>
      <c r="B53" s="13" t="s">
        <v>58</v>
      </c>
      <c r="C53" s="327"/>
      <c r="D53" s="25" t="s">
        <v>2080</v>
      </c>
      <c r="E53" s="26">
        <v>351359</v>
      </c>
      <c r="F53" s="380"/>
      <c r="G53" s="25">
        <v>74.95</v>
      </c>
      <c r="H53" s="378">
        <v>2806057</v>
      </c>
      <c r="I53" s="328"/>
      <c r="J53" s="327" t="s">
        <v>2031</v>
      </c>
      <c r="K53" s="328"/>
      <c r="L53" s="328"/>
      <c r="M53" s="328"/>
      <c r="N53" s="328"/>
      <c r="O53" s="328"/>
      <c r="P53" s="328"/>
      <c r="Q53" s="328"/>
      <c r="R53" s="328"/>
      <c r="S53" s="328"/>
    </row>
    <row r="54" spans="1:19" ht="15" customHeight="1" x14ac:dyDescent="0.25">
      <c r="A54" s="379" t="s">
        <v>2106</v>
      </c>
      <c r="B54" s="13" t="s">
        <v>58</v>
      </c>
      <c r="C54" s="327"/>
      <c r="D54" s="340">
        <v>376270713997</v>
      </c>
      <c r="E54" s="26">
        <v>351215</v>
      </c>
      <c r="F54" s="381"/>
      <c r="G54" s="25">
        <v>67.37</v>
      </c>
      <c r="H54" s="378">
        <v>2839090</v>
      </c>
      <c r="I54" s="382"/>
      <c r="J54" s="327" t="s">
        <v>2103</v>
      </c>
      <c r="K54" s="382"/>
      <c r="L54" s="382"/>
      <c r="M54" s="328"/>
      <c r="N54" s="328"/>
      <c r="O54" s="328"/>
      <c r="P54" s="328"/>
      <c r="Q54" s="328"/>
      <c r="R54" s="328"/>
      <c r="S54" s="328"/>
    </row>
    <row r="55" spans="1:19" ht="15" customHeight="1" x14ac:dyDescent="0.25">
      <c r="A55" s="379" t="s">
        <v>2106</v>
      </c>
      <c r="B55" s="13" t="s">
        <v>58</v>
      </c>
      <c r="C55" s="327"/>
      <c r="D55" s="317" t="s">
        <v>1710</v>
      </c>
      <c r="E55" s="369">
        <v>351488</v>
      </c>
      <c r="F55" s="383"/>
      <c r="G55" s="378">
        <v>195.66</v>
      </c>
      <c r="H55" s="370">
        <v>2839171</v>
      </c>
      <c r="I55" s="328"/>
      <c r="J55" s="327" t="s">
        <v>2103</v>
      </c>
      <c r="K55" s="328"/>
      <c r="L55" s="328"/>
      <c r="M55" s="328"/>
      <c r="N55" s="328"/>
      <c r="O55" s="328"/>
      <c r="P55" s="328"/>
      <c r="Q55" s="328"/>
      <c r="R55" s="328"/>
      <c r="S55" s="328"/>
    </row>
    <row r="56" spans="1:19" ht="15" customHeight="1" x14ac:dyDescent="0.25">
      <c r="A56" s="339" t="s">
        <v>2106</v>
      </c>
      <c r="B56" s="13" t="s">
        <v>58</v>
      </c>
      <c r="C56" s="320"/>
      <c r="D56" s="25" t="s">
        <v>2108</v>
      </c>
      <c r="E56" s="369">
        <v>350497</v>
      </c>
      <c r="F56" s="383"/>
      <c r="G56" s="378">
        <v>37.9</v>
      </c>
      <c r="H56" s="370">
        <v>2826523</v>
      </c>
      <c r="I56" s="328"/>
      <c r="J56" s="327" t="s">
        <v>2103</v>
      </c>
      <c r="K56" s="328"/>
      <c r="L56" s="328"/>
      <c r="M56" s="328"/>
      <c r="N56" s="328"/>
      <c r="O56" s="328"/>
      <c r="P56" s="328"/>
      <c r="Q56" s="328"/>
      <c r="R56" s="328"/>
      <c r="S56" s="328"/>
    </row>
    <row r="57" spans="1:19" ht="15" customHeight="1" x14ac:dyDescent="0.25">
      <c r="A57" s="384" t="s">
        <v>2106</v>
      </c>
      <c r="B57" s="13" t="s">
        <v>58</v>
      </c>
      <c r="C57" s="327"/>
      <c r="D57" s="25" t="s">
        <v>396</v>
      </c>
      <c r="E57" s="351">
        <v>350503</v>
      </c>
      <c r="F57" s="383"/>
      <c r="G57" s="378">
        <v>58.95</v>
      </c>
      <c r="H57" s="364">
        <v>2838417</v>
      </c>
      <c r="I57" s="328"/>
      <c r="J57" s="327" t="s">
        <v>2103</v>
      </c>
      <c r="K57" s="328"/>
      <c r="L57" s="328"/>
      <c r="M57" s="328"/>
      <c r="N57" s="328"/>
      <c r="O57" s="328"/>
      <c r="P57" s="328"/>
      <c r="Q57" s="328"/>
      <c r="R57" s="328"/>
      <c r="S57" s="328"/>
    </row>
    <row r="58" spans="1:19" ht="15" customHeight="1" x14ac:dyDescent="0.25">
      <c r="A58" s="384" t="s">
        <v>2106</v>
      </c>
      <c r="B58" s="13" t="s">
        <v>58</v>
      </c>
      <c r="C58" s="327"/>
      <c r="D58" s="350" t="s">
        <v>104</v>
      </c>
      <c r="E58" s="351">
        <v>350427</v>
      </c>
      <c r="F58" s="383"/>
      <c r="G58" s="378">
        <v>57.95</v>
      </c>
      <c r="H58" s="364">
        <v>2838492</v>
      </c>
      <c r="I58" s="328"/>
      <c r="J58" s="327" t="s">
        <v>2103</v>
      </c>
      <c r="K58" s="328"/>
      <c r="L58" s="328"/>
      <c r="M58" s="328"/>
      <c r="N58" s="328"/>
      <c r="O58" s="328"/>
      <c r="P58" s="328"/>
      <c r="Q58" s="328"/>
      <c r="R58" s="328"/>
      <c r="S58" s="328"/>
    </row>
    <row r="59" spans="1:19" ht="15" customHeight="1" x14ac:dyDescent="0.25">
      <c r="A59" s="384" t="s">
        <v>2106</v>
      </c>
      <c r="B59" s="13" t="s">
        <v>58</v>
      </c>
      <c r="C59" s="327"/>
      <c r="D59" s="350" t="s">
        <v>2109</v>
      </c>
      <c r="E59" s="351">
        <v>351535</v>
      </c>
      <c r="F59" s="383"/>
      <c r="G59" s="378">
        <v>53.9</v>
      </c>
      <c r="H59" s="364">
        <v>2839136</v>
      </c>
      <c r="I59" s="328"/>
      <c r="J59" s="327" t="s">
        <v>2103</v>
      </c>
      <c r="K59" s="328"/>
      <c r="L59" s="328"/>
      <c r="M59" s="328"/>
      <c r="N59" s="328"/>
      <c r="O59" s="328"/>
      <c r="P59" s="328"/>
      <c r="Q59" s="328"/>
      <c r="R59" s="328"/>
      <c r="S59" s="328"/>
    </row>
    <row r="60" spans="1:19" ht="15" customHeight="1" x14ac:dyDescent="0.25">
      <c r="A60" s="384" t="s">
        <v>2106</v>
      </c>
      <c r="B60" s="13" t="s">
        <v>58</v>
      </c>
      <c r="C60" s="327"/>
      <c r="D60" s="350" t="s">
        <v>2110</v>
      </c>
      <c r="E60" s="351">
        <v>352828</v>
      </c>
      <c r="F60" s="383"/>
      <c r="G60" s="378">
        <v>185.9</v>
      </c>
      <c r="H60" s="364">
        <v>2839110</v>
      </c>
      <c r="I60" s="328"/>
      <c r="J60" s="327" t="s">
        <v>2103</v>
      </c>
      <c r="K60" s="328"/>
      <c r="L60" s="328"/>
      <c r="M60" s="328"/>
      <c r="N60" s="328"/>
      <c r="O60" s="328"/>
      <c r="P60" s="328"/>
      <c r="Q60" s="328"/>
      <c r="R60" s="328"/>
      <c r="S60" s="328"/>
    </row>
    <row r="61" spans="1:19" ht="15" customHeight="1" x14ac:dyDescent="0.25">
      <c r="A61" s="384" t="s">
        <v>2106</v>
      </c>
      <c r="B61" s="13" t="s">
        <v>58</v>
      </c>
      <c r="C61" s="327"/>
      <c r="D61" s="350" t="s">
        <v>2111</v>
      </c>
      <c r="E61" s="351">
        <v>352282</v>
      </c>
      <c r="F61" s="383"/>
      <c r="G61" s="378">
        <v>15.95</v>
      </c>
      <c r="H61" s="364">
        <v>2816750</v>
      </c>
      <c r="I61" s="328"/>
      <c r="J61" s="327" t="s">
        <v>2103</v>
      </c>
      <c r="K61" s="328"/>
      <c r="L61" s="328"/>
      <c r="M61" s="328"/>
      <c r="N61" s="328"/>
      <c r="O61" s="328"/>
      <c r="P61" s="328"/>
      <c r="Q61" s="328"/>
      <c r="R61" s="328"/>
      <c r="S61" s="328"/>
    </row>
    <row r="62" spans="1:19" ht="15" customHeight="1" x14ac:dyDescent="0.25">
      <c r="A62" s="384" t="s">
        <v>2106</v>
      </c>
      <c r="B62" s="13" t="s">
        <v>58</v>
      </c>
      <c r="C62" s="327"/>
      <c r="D62" s="350" t="s">
        <v>2112</v>
      </c>
      <c r="E62" s="351">
        <v>225640</v>
      </c>
      <c r="F62" s="383"/>
      <c r="G62" s="378">
        <v>9.5500000000000007</v>
      </c>
      <c r="H62" s="364">
        <v>2838428</v>
      </c>
      <c r="I62" s="328"/>
      <c r="J62" s="327" t="s">
        <v>2103</v>
      </c>
      <c r="K62" s="328"/>
      <c r="L62" s="328"/>
      <c r="M62" s="328"/>
      <c r="N62" s="328"/>
      <c r="O62" s="328"/>
      <c r="P62" s="328"/>
      <c r="Q62" s="328"/>
      <c r="R62" s="328"/>
      <c r="S62" s="328"/>
    </row>
    <row r="63" spans="1:19" ht="15" customHeight="1" x14ac:dyDescent="0.25">
      <c r="A63" s="384" t="s">
        <v>2106</v>
      </c>
      <c r="B63" s="13" t="s">
        <v>58</v>
      </c>
      <c r="C63" s="327"/>
      <c r="D63" s="350" t="s">
        <v>2113</v>
      </c>
      <c r="E63" s="351">
        <v>350057</v>
      </c>
      <c r="F63" s="383"/>
      <c r="G63" s="378">
        <v>14.93</v>
      </c>
      <c r="H63" s="364">
        <v>2837006</v>
      </c>
      <c r="I63" s="328"/>
      <c r="J63" s="327" t="s">
        <v>2103</v>
      </c>
      <c r="K63" s="328"/>
      <c r="L63" s="328"/>
      <c r="M63" s="328"/>
      <c r="N63" s="328"/>
      <c r="O63" s="328"/>
      <c r="P63" s="328"/>
      <c r="Q63" s="328"/>
      <c r="R63" s="328"/>
      <c r="S63" s="328"/>
    </row>
    <row r="64" spans="1:19" ht="15" customHeight="1" x14ac:dyDescent="0.25">
      <c r="A64" s="384" t="s">
        <v>2106</v>
      </c>
      <c r="B64" s="13" t="s">
        <v>58</v>
      </c>
      <c r="C64" s="327"/>
      <c r="D64" s="350" t="s">
        <v>2114</v>
      </c>
      <c r="E64" s="351">
        <v>215864</v>
      </c>
      <c r="F64" s="383"/>
      <c r="G64" s="378">
        <v>36.51</v>
      </c>
      <c r="H64" s="364">
        <v>2836767</v>
      </c>
      <c r="I64" s="328"/>
      <c r="J64" s="327" t="s">
        <v>2103</v>
      </c>
      <c r="K64" s="328"/>
      <c r="L64" s="328"/>
      <c r="M64" s="328"/>
      <c r="N64" s="328"/>
      <c r="O64" s="328"/>
      <c r="P64" s="328"/>
      <c r="Q64" s="328"/>
      <c r="R64" s="328"/>
      <c r="S64" s="328"/>
    </row>
    <row r="65" spans="1:19" ht="15" customHeight="1" x14ac:dyDescent="0.25">
      <c r="A65" s="384" t="s">
        <v>2106</v>
      </c>
      <c r="B65" s="13" t="s">
        <v>58</v>
      </c>
      <c r="C65" s="327"/>
      <c r="D65" s="350" t="s">
        <v>2115</v>
      </c>
      <c r="E65" s="351">
        <v>352628</v>
      </c>
      <c r="F65" s="383"/>
      <c r="G65" s="378">
        <v>51.43</v>
      </c>
      <c r="H65" s="364">
        <v>2830032</v>
      </c>
      <c r="I65" s="328"/>
      <c r="J65" s="327" t="s">
        <v>2103</v>
      </c>
      <c r="K65" s="328"/>
      <c r="L65" s="328"/>
      <c r="M65" s="328"/>
      <c r="N65" s="328"/>
      <c r="O65" s="328"/>
      <c r="P65" s="328"/>
      <c r="Q65" s="328"/>
      <c r="R65" s="328"/>
      <c r="S65" s="328"/>
    </row>
    <row r="66" spans="1:19" s="328" customFormat="1" ht="15" customHeight="1" x14ac:dyDescent="0.25">
      <c r="A66" s="385" t="s">
        <v>2106</v>
      </c>
      <c r="B66" s="13" t="s">
        <v>58</v>
      </c>
      <c r="C66" s="327"/>
      <c r="D66" s="341" t="s">
        <v>2116</v>
      </c>
      <c r="E66" s="331">
        <v>212814</v>
      </c>
      <c r="F66" s="383"/>
      <c r="G66" s="378">
        <v>53.51</v>
      </c>
      <c r="H66" s="365">
        <v>2836705</v>
      </c>
      <c r="J66" s="327" t="s">
        <v>2103</v>
      </c>
    </row>
    <row r="67" spans="1:19" s="328" customFormat="1" ht="15" customHeight="1" x14ac:dyDescent="0.25">
      <c r="A67" s="379" t="s">
        <v>2106</v>
      </c>
      <c r="B67" s="13" t="s">
        <v>58</v>
      </c>
      <c r="C67" s="327"/>
      <c r="D67" s="25" t="s">
        <v>2117</v>
      </c>
      <c r="E67" s="331">
        <v>224148</v>
      </c>
      <c r="F67" s="383"/>
      <c r="G67" s="378">
        <v>70.48</v>
      </c>
      <c r="H67" s="365">
        <v>2838654</v>
      </c>
      <c r="J67" s="327" t="s">
        <v>2103</v>
      </c>
    </row>
    <row r="68" spans="1:19" s="328" customFormat="1" ht="15" customHeight="1" x14ac:dyDescent="0.25">
      <c r="A68" s="379" t="s">
        <v>2106</v>
      </c>
      <c r="B68" s="13" t="s">
        <v>58</v>
      </c>
      <c r="C68" s="327"/>
      <c r="D68" s="25" t="s">
        <v>1464</v>
      </c>
      <c r="E68" s="331">
        <v>350343</v>
      </c>
      <c r="F68" s="383"/>
      <c r="G68" s="378">
        <v>76.11</v>
      </c>
      <c r="H68" s="365">
        <v>2836563</v>
      </c>
      <c r="J68" s="327" t="s">
        <v>2103</v>
      </c>
    </row>
    <row r="69" spans="1:19" s="328" customFormat="1" ht="15" customHeight="1" x14ac:dyDescent="0.25">
      <c r="A69" s="379" t="s">
        <v>2106</v>
      </c>
      <c r="B69" s="13" t="s">
        <v>58</v>
      </c>
      <c r="C69" s="327"/>
      <c r="D69" s="25" t="s">
        <v>2119</v>
      </c>
      <c r="E69" s="331">
        <v>219353</v>
      </c>
      <c r="F69" s="383"/>
      <c r="G69" s="378">
        <v>90.91</v>
      </c>
      <c r="H69" s="365">
        <v>2837224</v>
      </c>
      <c r="J69" s="327" t="s">
        <v>2103</v>
      </c>
    </row>
    <row r="70" spans="1:19" s="328" customFormat="1" ht="15" customHeight="1" x14ac:dyDescent="0.25">
      <c r="A70" s="379" t="s">
        <v>2106</v>
      </c>
      <c r="B70" s="13" t="s">
        <v>58</v>
      </c>
      <c r="C70" s="327"/>
      <c r="D70" s="25" t="s">
        <v>2120</v>
      </c>
      <c r="E70" s="331">
        <v>202</v>
      </c>
      <c r="F70" s="383"/>
      <c r="G70" s="378">
        <v>95.9</v>
      </c>
      <c r="H70" s="365">
        <v>2824266</v>
      </c>
      <c r="J70" s="327" t="s">
        <v>2103</v>
      </c>
    </row>
    <row r="71" spans="1:19" s="328" customFormat="1" ht="15" customHeight="1" x14ac:dyDescent="0.25">
      <c r="A71" s="379" t="s">
        <v>2106</v>
      </c>
      <c r="B71" s="13" t="s">
        <v>58</v>
      </c>
      <c r="C71" s="327"/>
      <c r="D71" s="25" t="s">
        <v>115</v>
      </c>
      <c r="E71" s="331">
        <v>351425</v>
      </c>
      <c r="F71" s="383"/>
      <c r="G71" s="378">
        <v>95.9</v>
      </c>
      <c r="H71" s="365">
        <v>2839111</v>
      </c>
      <c r="J71" s="327" t="s">
        <v>2103</v>
      </c>
    </row>
    <row r="72" spans="1:19" s="328" customFormat="1" ht="15" customHeight="1" x14ac:dyDescent="0.25">
      <c r="A72" s="361" t="s">
        <v>2106</v>
      </c>
      <c r="B72" s="51" t="s">
        <v>58</v>
      </c>
      <c r="C72" s="327"/>
      <c r="D72" s="25" t="s">
        <v>2121</v>
      </c>
      <c r="E72" s="331">
        <v>351874</v>
      </c>
      <c r="F72" s="383"/>
      <c r="G72" s="378">
        <v>99.95</v>
      </c>
      <c r="H72" s="365">
        <v>2839098</v>
      </c>
      <c r="J72" s="327" t="s">
        <v>2103</v>
      </c>
    </row>
    <row r="73" spans="1:19" s="328" customFormat="1" ht="15" customHeight="1" x14ac:dyDescent="0.25">
      <c r="A73" s="362" t="s">
        <v>2106</v>
      </c>
      <c r="B73" s="363" t="s">
        <v>58</v>
      </c>
      <c r="C73" s="327"/>
      <c r="D73" s="317" t="s">
        <v>2122</v>
      </c>
      <c r="E73" s="331">
        <v>353035</v>
      </c>
      <c r="F73" s="383"/>
      <c r="G73" s="378">
        <v>103.58</v>
      </c>
      <c r="H73" s="365">
        <v>2833211</v>
      </c>
      <c r="J73" s="327" t="s">
        <v>2103</v>
      </c>
    </row>
    <row r="74" spans="1:19" s="328" customFormat="1" ht="15" customHeight="1" x14ac:dyDescent="0.25">
      <c r="A74" s="362" t="s">
        <v>2106</v>
      </c>
      <c r="B74" s="363" t="s">
        <v>58</v>
      </c>
      <c r="C74" s="327"/>
      <c r="D74" s="25" t="s">
        <v>2123</v>
      </c>
      <c r="E74" s="331">
        <v>82135</v>
      </c>
      <c r="F74" s="383"/>
      <c r="G74" s="378">
        <v>17.95</v>
      </c>
      <c r="H74" s="365">
        <v>2837148</v>
      </c>
      <c r="J74" s="327" t="s">
        <v>2103</v>
      </c>
    </row>
    <row r="75" spans="1:19" s="328" customFormat="1" ht="15" customHeight="1" x14ac:dyDescent="0.25">
      <c r="A75" s="362" t="s">
        <v>2106</v>
      </c>
      <c r="B75" s="363" t="s">
        <v>58</v>
      </c>
      <c r="C75" s="327"/>
      <c r="D75" s="25" t="s">
        <v>2124</v>
      </c>
      <c r="E75" s="331">
        <v>350447</v>
      </c>
      <c r="F75" s="383"/>
      <c r="G75" s="378">
        <v>110.61</v>
      </c>
      <c r="H75" s="365">
        <v>2839041</v>
      </c>
      <c r="J75" s="327" t="s">
        <v>2103</v>
      </c>
    </row>
    <row r="76" spans="1:19" s="328" customFormat="1" ht="15" customHeight="1" x14ac:dyDescent="0.25">
      <c r="A76" s="361" t="s">
        <v>2106</v>
      </c>
      <c r="B76" s="51" t="s">
        <v>58</v>
      </c>
      <c r="C76" s="327"/>
      <c r="D76" s="25" t="s">
        <v>2125</v>
      </c>
      <c r="E76" s="331">
        <v>350142</v>
      </c>
      <c r="F76" s="383"/>
      <c r="G76" s="378">
        <v>127.52</v>
      </c>
      <c r="H76" s="365">
        <v>2823161</v>
      </c>
      <c r="J76" s="327" t="s">
        <v>2133</v>
      </c>
    </row>
    <row r="77" spans="1:19" s="328" customFormat="1" ht="15" customHeight="1" x14ac:dyDescent="0.25">
      <c r="A77" s="361" t="s">
        <v>2106</v>
      </c>
      <c r="B77" s="51" t="s">
        <v>58</v>
      </c>
      <c r="C77" s="327"/>
      <c r="D77" s="25" t="s">
        <v>2127</v>
      </c>
      <c r="E77" s="331">
        <v>353206</v>
      </c>
      <c r="F77" s="383"/>
      <c r="G77" s="378">
        <v>199.96</v>
      </c>
      <c r="H77" s="365">
        <v>2828183</v>
      </c>
      <c r="J77" s="327" t="s">
        <v>2133</v>
      </c>
    </row>
    <row r="78" spans="1:19" s="328" customFormat="1" ht="15" customHeight="1" x14ac:dyDescent="0.25">
      <c r="A78" s="339" t="s">
        <v>2106</v>
      </c>
      <c r="B78" s="51" t="s">
        <v>58</v>
      </c>
      <c r="C78" s="327"/>
      <c r="D78" s="25" t="s">
        <v>2128</v>
      </c>
      <c r="E78" s="82">
        <v>351893</v>
      </c>
      <c r="F78" s="383"/>
      <c r="G78" s="378">
        <v>159.94999999999999</v>
      </c>
      <c r="H78" s="366">
        <v>2838714</v>
      </c>
      <c r="J78" s="327" t="s">
        <v>2103</v>
      </c>
    </row>
    <row r="79" spans="1:19" s="328" customFormat="1" x14ac:dyDescent="0.25">
      <c r="A79" s="410" t="s">
        <v>2193</v>
      </c>
      <c r="B79" s="328" t="s">
        <v>0</v>
      </c>
      <c r="D79" s="421" t="s">
        <v>2195</v>
      </c>
      <c r="E79" s="426">
        <v>216348</v>
      </c>
      <c r="F79" s="426">
        <v>878943</v>
      </c>
      <c r="G79" s="426">
        <v>35.9</v>
      </c>
      <c r="H79" s="383">
        <v>2878943</v>
      </c>
      <c r="J79" s="426" t="s">
        <v>2684</v>
      </c>
    </row>
    <row r="80" spans="1:19" s="328" customFormat="1" ht="19.7" customHeight="1" x14ac:dyDescent="0.25">
      <c r="A80" s="410" t="s">
        <v>2140</v>
      </c>
      <c r="B80" s="327" t="s">
        <v>58</v>
      </c>
      <c r="C80" s="327"/>
      <c r="D80" s="511" t="s">
        <v>2150</v>
      </c>
      <c r="E80" s="426">
        <v>350406</v>
      </c>
      <c r="F80" s="426">
        <v>284889</v>
      </c>
      <c r="G80" s="445">
        <v>175.45</v>
      </c>
      <c r="J80" s="426" t="s">
        <v>2155</v>
      </c>
    </row>
    <row r="81" spans="1:19" ht="15" customHeight="1" x14ac:dyDescent="0.25">
      <c r="A81" s="367" t="s">
        <v>2245</v>
      </c>
      <c r="B81" s="51" t="s">
        <v>0</v>
      </c>
      <c r="D81" s="353" t="s">
        <v>2277</v>
      </c>
      <c r="E81" s="26">
        <v>352463</v>
      </c>
      <c r="F81" s="378">
        <v>962963</v>
      </c>
      <c r="G81" s="602">
        <v>326.08</v>
      </c>
      <c r="H81" s="366">
        <v>2962963</v>
      </c>
      <c r="J81" s="26" t="s">
        <v>44</v>
      </c>
    </row>
    <row r="82" spans="1:19" ht="15" customHeight="1" x14ac:dyDescent="0.25">
      <c r="A82" s="367" t="s">
        <v>2245</v>
      </c>
      <c r="B82" s="51" t="s">
        <v>58</v>
      </c>
      <c r="D82" s="353" t="s">
        <v>2277</v>
      </c>
      <c r="E82" s="26">
        <v>352463</v>
      </c>
      <c r="F82" s="378">
        <v>962963</v>
      </c>
      <c r="G82" s="26">
        <v>326.08</v>
      </c>
      <c r="H82" s="366">
        <v>2962963</v>
      </c>
      <c r="J82" s="26" t="s">
        <v>117</v>
      </c>
    </row>
    <row r="83" spans="1:19" ht="15" customHeight="1" x14ac:dyDescent="0.25">
      <c r="A83" s="368" t="s">
        <v>2291</v>
      </c>
      <c r="B83" s="13" t="s">
        <v>0</v>
      </c>
      <c r="C83" s="327"/>
      <c r="D83" s="386" t="s">
        <v>1394</v>
      </c>
      <c r="E83" s="26">
        <v>101198</v>
      </c>
      <c r="F83" s="26" t="s">
        <v>2301</v>
      </c>
      <c r="G83" s="611">
        <v>55.87</v>
      </c>
      <c r="H83" s="26">
        <v>2993948</v>
      </c>
      <c r="I83" s="328"/>
      <c r="J83" s="391" t="s">
        <v>2299</v>
      </c>
    </row>
    <row r="84" spans="1:19" ht="15" customHeight="1" x14ac:dyDescent="0.25">
      <c r="A84" s="368" t="s">
        <v>2291</v>
      </c>
      <c r="B84" s="13" t="s">
        <v>0</v>
      </c>
      <c r="C84" s="327"/>
      <c r="D84" s="386" t="s">
        <v>1394</v>
      </c>
      <c r="E84" s="26">
        <v>101198</v>
      </c>
      <c r="F84" s="380" t="s">
        <v>2301</v>
      </c>
      <c r="G84" s="611">
        <v>-55.87</v>
      </c>
      <c r="H84" s="26">
        <v>2993948</v>
      </c>
      <c r="I84" s="328"/>
      <c r="J84" s="391" t="s">
        <v>2300</v>
      </c>
    </row>
    <row r="85" spans="1:19" ht="15" customHeight="1" x14ac:dyDescent="0.25">
      <c r="A85" s="368" t="s">
        <v>2291</v>
      </c>
      <c r="B85" s="13" t="s">
        <v>0</v>
      </c>
      <c r="C85" s="327"/>
      <c r="D85" s="386" t="s">
        <v>1394</v>
      </c>
      <c r="E85" s="26">
        <v>101198</v>
      </c>
      <c r="F85" s="26" t="s">
        <v>2301</v>
      </c>
      <c r="G85" s="611">
        <v>-55.87</v>
      </c>
      <c r="H85" s="26">
        <v>2993948</v>
      </c>
      <c r="I85" s="328"/>
      <c r="J85" s="391" t="s">
        <v>2302</v>
      </c>
    </row>
    <row r="86" spans="1:19" ht="15" customHeight="1" x14ac:dyDescent="0.25">
      <c r="A86" s="368" t="s">
        <v>2291</v>
      </c>
      <c r="B86" s="13" t="s">
        <v>0</v>
      </c>
      <c r="C86" s="327"/>
      <c r="D86" s="386" t="s">
        <v>1394</v>
      </c>
      <c r="E86" s="26">
        <v>101198</v>
      </c>
      <c r="F86" s="26" t="s">
        <v>2301</v>
      </c>
      <c r="G86" s="611">
        <v>-55.87</v>
      </c>
      <c r="H86" s="26">
        <v>2993948</v>
      </c>
      <c r="I86" s="328"/>
      <c r="J86" s="391" t="s">
        <v>2302</v>
      </c>
    </row>
    <row r="87" spans="1:19" s="328" customFormat="1" ht="15" customHeight="1" x14ac:dyDescent="0.25">
      <c r="A87" s="368" t="s">
        <v>2432</v>
      </c>
      <c r="B87" s="327" t="s">
        <v>0</v>
      </c>
      <c r="C87" s="327"/>
      <c r="D87" s="387" t="s">
        <v>2495</v>
      </c>
      <c r="E87" s="387">
        <v>1169</v>
      </c>
      <c r="F87" s="600" t="s">
        <v>2510</v>
      </c>
      <c r="G87" s="602">
        <v>103.9</v>
      </c>
      <c r="H87" s="600">
        <v>3030030</v>
      </c>
      <c r="J87" s="327" t="s">
        <v>2494</v>
      </c>
    </row>
    <row r="88" spans="1:19" s="328" customFormat="1" ht="15" customHeight="1" x14ac:dyDescent="0.25">
      <c r="A88" s="368" t="s">
        <v>2432</v>
      </c>
      <c r="B88" s="327" t="s">
        <v>0</v>
      </c>
      <c r="C88" s="327"/>
      <c r="D88" s="387" t="s">
        <v>2495</v>
      </c>
      <c r="E88" s="387">
        <v>1169</v>
      </c>
      <c r="F88" s="600" t="s">
        <v>2511</v>
      </c>
      <c r="G88" s="602">
        <v>176.9</v>
      </c>
      <c r="H88" s="600">
        <v>3030158</v>
      </c>
      <c r="J88" s="327" t="s">
        <v>2494</v>
      </c>
    </row>
    <row r="89" spans="1:19" s="409" customFormat="1" x14ac:dyDescent="0.25">
      <c r="A89" s="368" t="s">
        <v>2432</v>
      </c>
      <c r="B89" s="327" t="s">
        <v>0</v>
      </c>
      <c r="C89" s="327"/>
      <c r="D89" s="581" t="s">
        <v>2495</v>
      </c>
      <c r="E89" s="387">
        <v>1169</v>
      </c>
      <c r="F89" s="600" t="s">
        <v>2509</v>
      </c>
      <c r="G89" s="602">
        <v>46.9</v>
      </c>
      <c r="H89" s="600">
        <v>3025985</v>
      </c>
      <c r="I89" s="328"/>
      <c r="J89" s="327" t="s">
        <v>2494</v>
      </c>
      <c r="K89" s="328"/>
      <c r="L89" s="328"/>
      <c r="M89" s="328"/>
      <c r="N89" s="328"/>
      <c r="O89" s="328"/>
      <c r="P89" s="328"/>
      <c r="Q89" s="328"/>
      <c r="R89" s="328"/>
      <c r="S89" s="328"/>
    </row>
    <row r="90" spans="1:19" s="328" customFormat="1" x14ac:dyDescent="0.25">
      <c r="A90" s="368" t="s">
        <v>2579</v>
      </c>
      <c r="B90" s="327" t="s">
        <v>0</v>
      </c>
      <c r="C90" s="327"/>
      <c r="D90" s="387" t="s">
        <v>2596</v>
      </c>
      <c r="E90" s="387">
        <v>352371</v>
      </c>
      <c r="F90" s="426" t="s">
        <v>2601</v>
      </c>
      <c r="G90" s="602">
        <v>35.630000000000003</v>
      </c>
      <c r="H90" s="426">
        <v>3095003</v>
      </c>
      <c r="J90" s="327" t="s">
        <v>2598</v>
      </c>
    </row>
    <row r="91" spans="1:19" s="328" customFormat="1" x14ac:dyDescent="0.25">
      <c r="A91" s="368" t="s">
        <v>2692</v>
      </c>
      <c r="B91" s="327" t="s">
        <v>58</v>
      </c>
      <c r="C91" s="327"/>
      <c r="D91" s="387" t="s">
        <v>2639</v>
      </c>
      <c r="E91" s="387">
        <v>351384</v>
      </c>
      <c r="F91" s="426" t="s">
        <v>2637</v>
      </c>
      <c r="G91" s="602">
        <v>-63.05</v>
      </c>
      <c r="H91" s="426">
        <v>3090159</v>
      </c>
      <c r="J91" s="327" t="s">
        <v>2739</v>
      </c>
    </row>
    <row r="92" spans="1:19" s="328" customFormat="1" x14ac:dyDescent="0.25">
      <c r="A92" s="368" t="s">
        <v>2692</v>
      </c>
      <c r="B92" s="327" t="s">
        <v>58</v>
      </c>
      <c r="C92" s="327"/>
      <c r="D92" s="387" t="s">
        <v>2639</v>
      </c>
      <c r="E92" s="387">
        <v>351384</v>
      </c>
      <c r="F92" s="426" t="s">
        <v>2637</v>
      </c>
      <c r="G92" s="602">
        <v>-63.05</v>
      </c>
      <c r="H92" s="426">
        <v>3090159</v>
      </c>
      <c r="J92" s="327" t="s">
        <v>2739</v>
      </c>
    </row>
    <row r="93" spans="1:19" s="328" customFormat="1" x14ac:dyDescent="0.25">
      <c r="A93" s="368" t="s">
        <v>2692</v>
      </c>
      <c r="B93" s="327" t="s">
        <v>58</v>
      </c>
      <c r="C93" s="327"/>
      <c r="D93" s="387" t="s">
        <v>2639</v>
      </c>
      <c r="E93" s="387">
        <v>351384</v>
      </c>
      <c r="F93" s="426" t="s">
        <v>2637</v>
      </c>
      <c r="G93" s="602">
        <v>-63.05</v>
      </c>
      <c r="H93" s="426">
        <v>3090159</v>
      </c>
      <c r="J93" s="327" t="s">
        <v>2739</v>
      </c>
    </row>
    <row r="94" spans="1:19" s="328" customFormat="1" x14ac:dyDescent="0.25">
      <c r="A94" s="368" t="s">
        <v>2692</v>
      </c>
      <c r="B94" s="327" t="s">
        <v>0</v>
      </c>
      <c r="C94" s="327"/>
      <c r="D94" s="387" t="s">
        <v>2596</v>
      </c>
      <c r="E94" s="387">
        <v>352371</v>
      </c>
      <c r="F94" s="426" t="s">
        <v>2695</v>
      </c>
      <c r="G94" s="602">
        <v>11.55</v>
      </c>
      <c r="H94" s="426">
        <v>3099455</v>
      </c>
      <c r="J94" s="327" t="s">
        <v>2694</v>
      </c>
    </row>
    <row r="95" spans="1:19" x14ac:dyDescent="0.25">
      <c r="A95" s="368" t="s">
        <v>2740</v>
      </c>
      <c r="B95" s="327" t="s">
        <v>0</v>
      </c>
      <c r="C95" s="327"/>
      <c r="D95" s="387">
        <v>376271259990</v>
      </c>
      <c r="E95" s="387">
        <v>351440</v>
      </c>
      <c r="F95" s="426" t="s">
        <v>2743</v>
      </c>
      <c r="G95" s="602">
        <v>-66.239999999999995</v>
      </c>
      <c r="H95" s="426">
        <v>3145144</v>
      </c>
      <c r="I95" s="328"/>
      <c r="J95" s="327" t="s">
        <v>2746</v>
      </c>
    </row>
    <row r="96" spans="1:19" x14ac:dyDescent="0.25">
      <c r="A96" s="368" t="s">
        <v>2740</v>
      </c>
      <c r="B96" s="327" t="s">
        <v>0</v>
      </c>
      <c r="C96" s="327"/>
      <c r="D96" s="387">
        <v>376271259990</v>
      </c>
      <c r="E96" s="387">
        <v>351440</v>
      </c>
      <c r="F96" s="426" t="s">
        <v>2743</v>
      </c>
      <c r="G96" s="602">
        <v>-66.239999999999995</v>
      </c>
      <c r="H96" s="426">
        <v>3145144</v>
      </c>
      <c r="I96" s="328"/>
      <c r="J96" s="327" t="s">
        <v>2746</v>
      </c>
    </row>
    <row r="97" spans="1:20" x14ac:dyDescent="0.25">
      <c r="A97" s="368" t="s">
        <v>2740</v>
      </c>
      <c r="B97" s="327" t="s">
        <v>0</v>
      </c>
      <c r="C97" s="327"/>
      <c r="D97" s="387">
        <v>376271259990</v>
      </c>
      <c r="E97" s="387">
        <v>351440</v>
      </c>
      <c r="F97" s="426" t="s">
        <v>2743</v>
      </c>
      <c r="G97" s="602">
        <v>-66.239999999999995</v>
      </c>
      <c r="H97" s="426">
        <v>3145144</v>
      </c>
      <c r="I97" s="328"/>
      <c r="J97" s="327" t="s">
        <v>2746</v>
      </c>
    </row>
    <row r="98" spans="1:20" x14ac:dyDescent="0.25">
      <c r="A98" s="368" t="s">
        <v>2740</v>
      </c>
      <c r="B98" s="327" t="s">
        <v>0</v>
      </c>
      <c r="C98" s="327"/>
      <c r="D98" s="387">
        <v>376271259990</v>
      </c>
      <c r="E98" s="387">
        <v>351440</v>
      </c>
      <c r="F98" s="426" t="s">
        <v>2743</v>
      </c>
      <c r="G98" s="602">
        <v>-66.239999999999995</v>
      </c>
      <c r="H98" s="426">
        <v>3145144</v>
      </c>
      <c r="I98" s="328"/>
      <c r="J98" s="327" t="s">
        <v>2746</v>
      </c>
    </row>
    <row r="99" spans="1:20" s="328" customFormat="1" x14ac:dyDescent="0.25">
      <c r="A99" s="368" t="s">
        <v>2834</v>
      </c>
      <c r="B99" s="327" t="s">
        <v>0</v>
      </c>
      <c r="C99" s="327"/>
      <c r="D99" s="387" t="s">
        <v>96</v>
      </c>
      <c r="E99" s="387">
        <v>350361</v>
      </c>
      <c r="F99" s="383" t="s">
        <v>2876</v>
      </c>
      <c r="G99" s="602">
        <v>55.89</v>
      </c>
      <c r="H99" s="426">
        <v>3180182</v>
      </c>
      <c r="J99" s="327" t="s">
        <v>2866</v>
      </c>
    </row>
    <row r="100" spans="1:20" s="328" customFormat="1" x14ac:dyDescent="0.25">
      <c r="A100" s="368" t="s">
        <v>2834</v>
      </c>
      <c r="B100" s="327" t="s">
        <v>58</v>
      </c>
      <c r="C100" s="327"/>
      <c r="D100" s="387" t="s">
        <v>2789</v>
      </c>
      <c r="E100" s="387">
        <v>353062</v>
      </c>
      <c r="F100" s="600" t="s">
        <v>2836</v>
      </c>
      <c r="G100" s="602">
        <v>-37.85</v>
      </c>
      <c r="H100" s="426">
        <v>3182221</v>
      </c>
      <c r="J100" s="328" t="s">
        <v>2835</v>
      </c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20" s="328" customFormat="1" x14ac:dyDescent="0.25">
      <c r="A101" s="368" t="s">
        <v>2834</v>
      </c>
      <c r="B101" s="327" t="s">
        <v>58</v>
      </c>
      <c r="C101" s="327"/>
      <c r="D101" s="387" t="s">
        <v>2789</v>
      </c>
      <c r="E101" s="387">
        <v>353062</v>
      </c>
      <c r="F101" s="600" t="s">
        <v>2836</v>
      </c>
      <c r="G101" s="602">
        <v>-37.85</v>
      </c>
      <c r="H101" s="426">
        <v>3182221</v>
      </c>
      <c r="J101" s="328" t="s">
        <v>2835</v>
      </c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20" s="328" customFormat="1" x14ac:dyDescent="0.25">
      <c r="A102" s="368" t="s">
        <v>2834</v>
      </c>
      <c r="B102" s="327" t="s">
        <v>58</v>
      </c>
      <c r="C102" s="327"/>
      <c r="D102" s="387" t="s">
        <v>2789</v>
      </c>
      <c r="E102" s="387">
        <v>353062</v>
      </c>
      <c r="F102" s="600" t="s">
        <v>2836</v>
      </c>
      <c r="G102" s="602">
        <v>-37.85</v>
      </c>
      <c r="H102" s="426">
        <v>3182221</v>
      </c>
      <c r="J102" s="328" t="s">
        <v>2835</v>
      </c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20" s="328" customFormat="1" x14ac:dyDescent="0.25">
      <c r="A103" s="368" t="s">
        <v>2952</v>
      </c>
      <c r="B103" s="327" t="s">
        <v>0</v>
      </c>
      <c r="C103" s="327"/>
      <c r="D103" s="387" t="s">
        <v>3106</v>
      </c>
      <c r="E103" s="387">
        <v>351470</v>
      </c>
      <c r="F103" s="600" t="s">
        <v>3216</v>
      </c>
      <c r="G103" s="602">
        <v>-65.37</v>
      </c>
      <c r="H103" s="426">
        <v>3205670</v>
      </c>
      <c r="J103" s="327" t="s">
        <v>3107</v>
      </c>
    </row>
    <row r="104" spans="1:20" s="328" customFormat="1" x14ac:dyDescent="0.25">
      <c r="A104" s="368" t="s">
        <v>3221</v>
      </c>
      <c r="B104" s="327" t="s">
        <v>0</v>
      </c>
      <c r="C104" s="327"/>
      <c r="D104" s="387" t="s">
        <v>2197</v>
      </c>
      <c r="E104" s="387">
        <v>213316</v>
      </c>
      <c r="F104" s="426" t="s">
        <v>3353</v>
      </c>
      <c r="G104" s="602">
        <v>109.53</v>
      </c>
      <c r="H104" s="426">
        <v>3228195</v>
      </c>
      <c r="J104" s="327" t="s">
        <v>3352</v>
      </c>
      <c r="K104" s="602"/>
      <c r="L104" s="426"/>
      <c r="M104" s="601"/>
    </row>
    <row r="105" spans="1:20" s="328" customFormat="1" x14ac:dyDescent="0.25">
      <c r="A105" s="368" t="s">
        <v>3221</v>
      </c>
      <c r="B105" s="327" t="s">
        <v>0</v>
      </c>
      <c r="C105" s="327"/>
      <c r="D105" s="387" t="s">
        <v>2197</v>
      </c>
      <c r="E105" s="387">
        <v>213316</v>
      </c>
      <c r="F105" s="426" t="s">
        <v>3354</v>
      </c>
      <c r="G105" s="602">
        <v>101.76</v>
      </c>
      <c r="H105" s="426">
        <v>3261178</v>
      </c>
      <c r="J105" s="327" t="s">
        <v>3352</v>
      </c>
      <c r="K105" s="602"/>
      <c r="L105" s="426"/>
      <c r="M105" s="601"/>
    </row>
    <row r="106" spans="1:20" x14ac:dyDescent="0.25">
      <c r="A106" s="368" t="s">
        <v>3221</v>
      </c>
      <c r="B106" s="327" t="s">
        <v>0</v>
      </c>
      <c r="C106" s="327"/>
      <c r="D106" s="387" t="s">
        <v>3282</v>
      </c>
      <c r="E106" s="387">
        <v>350371</v>
      </c>
      <c r="F106" s="426"/>
      <c r="G106" s="602">
        <v>69.900000000000006</v>
      </c>
      <c r="H106" s="426"/>
      <c r="I106" s="328"/>
      <c r="J106" s="327" t="s">
        <v>3280</v>
      </c>
      <c r="K106" s="602"/>
      <c r="L106" s="426"/>
      <c r="M106" s="601"/>
      <c r="N106" s="328"/>
      <c r="O106" s="328"/>
      <c r="P106" s="328"/>
      <c r="Q106" s="328"/>
      <c r="R106" s="328"/>
      <c r="S106" s="328"/>
      <c r="T106" s="328"/>
    </row>
    <row r="107" spans="1:20" s="328" customFormat="1" x14ac:dyDescent="0.25">
      <c r="A107" s="368" t="s">
        <v>3558</v>
      </c>
      <c r="B107" s="327" t="s">
        <v>0</v>
      </c>
      <c r="C107" s="327"/>
      <c r="D107" s="387" t="s">
        <v>1522</v>
      </c>
      <c r="E107" s="387">
        <v>351063</v>
      </c>
      <c r="F107" s="600" t="s">
        <v>3560</v>
      </c>
      <c r="G107" s="602">
        <v>-21</v>
      </c>
      <c r="H107" s="600">
        <v>3215759</v>
      </c>
      <c r="J107" s="327" t="s">
        <v>3559</v>
      </c>
    </row>
    <row r="108" spans="1:20" s="328" customFormat="1" x14ac:dyDescent="0.25">
      <c r="A108" s="368" t="s">
        <v>4264</v>
      </c>
      <c r="B108" s="327" t="s">
        <v>0</v>
      </c>
      <c r="C108" s="327"/>
      <c r="D108" s="387" t="s">
        <v>47</v>
      </c>
      <c r="E108" s="387">
        <v>352265</v>
      </c>
      <c r="F108" s="600" t="s">
        <v>4288</v>
      </c>
      <c r="G108" s="602">
        <v>34.950000000000003</v>
      </c>
      <c r="H108" s="600">
        <v>3422853</v>
      </c>
      <c r="J108" s="327" t="s">
        <v>4286</v>
      </c>
    </row>
    <row r="109" spans="1:20" s="328" customFormat="1" x14ac:dyDescent="0.25">
      <c r="A109" s="368" t="s">
        <v>4264</v>
      </c>
      <c r="B109" s="327" t="s">
        <v>0</v>
      </c>
      <c r="C109" s="327"/>
      <c r="D109" s="387" t="s">
        <v>2742</v>
      </c>
      <c r="E109" s="387">
        <v>351440</v>
      </c>
      <c r="F109" s="600" t="s">
        <v>4297</v>
      </c>
      <c r="G109" s="602">
        <v>46.59</v>
      </c>
      <c r="H109" s="600">
        <v>3440044</v>
      </c>
      <c r="J109" s="327" t="s">
        <v>4296</v>
      </c>
    </row>
    <row r="110" spans="1:20" s="328" customFormat="1" x14ac:dyDescent="0.25">
      <c r="A110" s="368" t="s">
        <v>4322</v>
      </c>
      <c r="B110" s="327" t="s">
        <v>0</v>
      </c>
      <c r="C110" s="327"/>
      <c r="D110" s="387" t="s">
        <v>1405</v>
      </c>
      <c r="E110" s="387">
        <v>350352</v>
      </c>
      <c r="F110" s="600" t="s">
        <v>4343</v>
      </c>
      <c r="G110" s="602">
        <v>114.27</v>
      </c>
      <c r="H110" s="600">
        <v>3427269</v>
      </c>
      <c r="J110" s="327" t="s">
        <v>4342</v>
      </c>
    </row>
    <row r="111" spans="1:20" s="328" customFormat="1" x14ac:dyDescent="0.25">
      <c r="A111" s="368" t="s">
        <v>4322</v>
      </c>
      <c r="B111" s="327" t="s">
        <v>0</v>
      </c>
      <c r="C111" s="327"/>
      <c r="D111" s="387" t="s">
        <v>1405</v>
      </c>
      <c r="E111" s="387">
        <v>350352</v>
      </c>
      <c r="F111" s="600" t="s">
        <v>4344</v>
      </c>
      <c r="G111" s="602">
        <v>32.26</v>
      </c>
      <c r="H111" s="600">
        <v>3420749</v>
      </c>
      <c r="J111" s="327" t="s">
        <v>4342</v>
      </c>
    </row>
    <row r="112" spans="1:20" s="409" customFormat="1" x14ac:dyDescent="0.25">
      <c r="A112" s="368" t="s">
        <v>4352</v>
      </c>
      <c r="B112" s="327" t="s">
        <v>0</v>
      </c>
      <c r="C112" s="327"/>
      <c r="D112" s="581" t="s">
        <v>2231</v>
      </c>
      <c r="E112" s="387">
        <v>351500</v>
      </c>
      <c r="F112" s="597" t="s">
        <v>4359</v>
      </c>
      <c r="G112" s="578">
        <v>-54.71</v>
      </c>
      <c r="H112" s="597">
        <v>3510379</v>
      </c>
      <c r="I112" s="328"/>
      <c r="J112" s="327" t="s">
        <v>4358</v>
      </c>
      <c r="K112" s="328"/>
      <c r="L112" s="328"/>
      <c r="M112" s="328"/>
      <c r="N112" s="328"/>
      <c r="O112" s="328"/>
      <c r="P112" s="328"/>
      <c r="Q112" s="328"/>
      <c r="R112" s="328"/>
      <c r="S112" s="328"/>
    </row>
    <row r="113" spans="1:19" s="409" customFormat="1" x14ac:dyDescent="0.25">
      <c r="A113" s="368" t="s">
        <v>4352</v>
      </c>
      <c r="B113" s="327" t="s">
        <v>0</v>
      </c>
      <c r="C113" s="327"/>
      <c r="D113" s="581" t="s">
        <v>2231</v>
      </c>
      <c r="E113" s="387">
        <v>351500</v>
      </c>
      <c r="F113" s="597" t="s">
        <v>4359</v>
      </c>
      <c r="G113" s="578">
        <v>-54.71</v>
      </c>
      <c r="H113" s="597">
        <v>3510379</v>
      </c>
      <c r="I113" s="328"/>
      <c r="J113" s="327" t="s">
        <v>4358</v>
      </c>
      <c r="K113" s="328"/>
      <c r="L113" s="328"/>
      <c r="M113" s="328"/>
      <c r="N113" s="328"/>
      <c r="O113" s="328"/>
      <c r="P113" s="328"/>
      <c r="Q113" s="328"/>
      <c r="R113" s="328"/>
      <c r="S113" s="328"/>
    </row>
    <row r="114" spans="1:19" s="409" customFormat="1" x14ac:dyDescent="0.25">
      <c r="A114" s="368" t="s">
        <v>4352</v>
      </c>
      <c r="B114" s="327" t="s">
        <v>0</v>
      </c>
      <c r="C114" s="327"/>
      <c r="D114" s="581" t="s">
        <v>4368</v>
      </c>
      <c r="E114" s="387">
        <v>226248</v>
      </c>
      <c r="F114" s="597" t="s">
        <v>4371</v>
      </c>
      <c r="G114" s="578">
        <v>91.95</v>
      </c>
      <c r="H114" s="597">
        <v>5501245</v>
      </c>
      <c r="I114" s="328"/>
      <c r="J114" s="327" t="s">
        <v>4369</v>
      </c>
      <c r="K114" s="328"/>
      <c r="L114" s="328"/>
      <c r="M114" s="328"/>
      <c r="N114" s="328"/>
      <c r="O114" s="328"/>
      <c r="P114" s="328"/>
      <c r="Q114" s="328"/>
      <c r="R114" s="328"/>
      <c r="S114" s="328"/>
    </row>
    <row r="115" spans="1:19" s="409" customFormat="1" x14ac:dyDescent="0.25">
      <c r="A115" s="368" t="s">
        <v>4352</v>
      </c>
      <c r="B115" s="327" t="s">
        <v>0</v>
      </c>
      <c r="C115" s="327"/>
      <c r="D115" s="581" t="s">
        <v>1405</v>
      </c>
      <c r="E115" s="387">
        <v>350352</v>
      </c>
      <c r="F115" s="597" t="s">
        <v>4373</v>
      </c>
      <c r="G115" s="578">
        <v>33.96</v>
      </c>
      <c r="H115" s="597"/>
      <c r="I115" s="328"/>
      <c r="J115" s="327" t="s">
        <v>4372</v>
      </c>
      <c r="K115" s="328"/>
      <c r="L115" s="328"/>
      <c r="M115" s="328"/>
      <c r="N115" s="328"/>
      <c r="O115" s="328"/>
      <c r="P115" s="328"/>
      <c r="Q115" s="328"/>
      <c r="R115" s="328"/>
      <c r="S115" s="328"/>
    </row>
    <row r="116" spans="1:19" s="409" customFormat="1" x14ac:dyDescent="0.25">
      <c r="A116" s="368" t="s">
        <v>4352</v>
      </c>
      <c r="B116" s="327" t="s">
        <v>0</v>
      </c>
      <c r="C116" s="327"/>
      <c r="D116" s="581" t="s">
        <v>1405</v>
      </c>
      <c r="E116" s="387">
        <v>350352</v>
      </c>
      <c r="F116" s="597" t="s">
        <v>4373</v>
      </c>
      <c r="G116" s="578">
        <v>65.41</v>
      </c>
      <c r="H116" s="597"/>
      <c r="I116" s="328"/>
      <c r="J116" s="327" t="s">
        <v>4372</v>
      </c>
      <c r="K116" s="328"/>
      <c r="L116" s="328"/>
      <c r="M116" s="328"/>
      <c r="N116" s="328"/>
      <c r="O116" s="328"/>
      <c r="P116" s="328"/>
      <c r="Q116" s="328"/>
      <c r="R116" s="328"/>
      <c r="S116" s="328"/>
    </row>
    <row r="117" spans="1:19" s="409" customFormat="1" x14ac:dyDescent="0.25">
      <c r="A117" s="368" t="s">
        <v>4352</v>
      </c>
      <c r="B117" s="327" t="s">
        <v>0</v>
      </c>
      <c r="C117" s="327"/>
      <c r="D117" s="581" t="s">
        <v>2205</v>
      </c>
      <c r="E117" s="387">
        <v>351647</v>
      </c>
      <c r="F117" s="597" t="s">
        <v>4377</v>
      </c>
      <c r="G117" s="578">
        <v>158.9</v>
      </c>
      <c r="H117" s="597">
        <v>3510786</v>
      </c>
      <c r="I117" s="328"/>
      <c r="J117" s="327" t="s">
        <v>4375</v>
      </c>
      <c r="K117" s="328"/>
      <c r="L117" s="328"/>
      <c r="M117" s="328"/>
      <c r="N117" s="328"/>
      <c r="O117" s="328"/>
      <c r="P117" s="328"/>
      <c r="Q117" s="328"/>
      <c r="R117" s="328"/>
      <c r="S117" s="328"/>
    </row>
    <row r="118" spans="1:19" x14ac:dyDescent="0.25">
      <c r="A118" s="368" t="s">
        <v>4386</v>
      </c>
      <c r="B118" s="327" t="s">
        <v>121</v>
      </c>
      <c r="C118" s="327"/>
      <c r="D118" s="581" t="s">
        <v>4389</v>
      </c>
      <c r="E118" s="387">
        <v>217774</v>
      </c>
      <c r="F118" s="597">
        <v>528755</v>
      </c>
      <c r="G118" s="578">
        <v>66.900000000000006</v>
      </c>
      <c r="H118" s="597">
        <v>3528755</v>
      </c>
      <c r="I118" s="328"/>
      <c r="J118" s="327" t="s">
        <v>6</v>
      </c>
    </row>
    <row r="119" spans="1:19" s="409" customFormat="1" x14ac:dyDescent="0.25">
      <c r="A119" s="368" t="s">
        <v>4669</v>
      </c>
      <c r="B119" s="327" t="s">
        <v>121</v>
      </c>
      <c r="C119" s="327"/>
      <c r="D119" s="581" t="s">
        <v>4694</v>
      </c>
      <c r="E119" s="387">
        <v>352450</v>
      </c>
      <c r="F119" s="597" t="s">
        <v>4696</v>
      </c>
      <c r="G119" s="578">
        <v>59.21</v>
      </c>
      <c r="H119" s="597">
        <v>3600639</v>
      </c>
      <c r="I119" s="597"/>
      <c r="J119" s="327" t="s">
        <v>4702</v>
      </c>
      <c r="K119" s="328"/>
      <c r="L119" s="328"/>
      <c r="M119" s="328"/>
      <c r="N119" s="328"/>
      <c r="O119" s="328"/>
      <c r="P119" s="328"/>
      <c r="Q119" s="328"/>
      <c r="R119" s="328"/>
      <c r="S119" s="328"/>
    </row>
    <row r="120" spans="1:19" s="409" customFormat="1" x14ac:dyDescent="0.25">
      <c r="A120" s="368" t="s">
        <v>4669</v>
      </c>
      <c r="B120" s="327" t="s">
        <v>121</v>
      </c>
      <c r="C120" s="327"/>
      <c r="D120" s="581" t="s">
        <v>4694</v>
      </c>
      <c r="E120" s="387">
        <v>352450</v>
      </c>
      <c r="F120" s="597" t="s">
        <v>4695</v>
      </c>
      <c r="G120" s="578">
        <v>59.21</v>
      </c>
      <c r="H120" s="597">
        <v>3608843</v>
      </c>
      <c r="I120" s="597"/>
      <c r="J120" s="327" t="s">
        <v>4702</v>
      </c>
      <c r="K120" s="328"/>
      <c r="L120" s="328"/>
      <c r="M120" s="328"/>
      <c r="N120" s="328"/>
      <c r="O120" s="328"/>
      <c r="P120" s="328"/>
      <c r="Q120" s="328"/>
      <c r="R120" s="328"/>
      <c r="S120" s="328"/>
    </row>
    <row r="121" spans="1:19" s="409" customFormat="1" x14ac:dyDescent="0.25">
      <c r="A121" s="368" t="s">
        <v>4669</v>
      </c>
      <c r="B121" s="327" t="s">
        <v>121</v>
      </c>
      <c r="C121" s="327"/>
      <c r="D121" s="581" t="s">
        <v>4690</v>
      </c>
      <c r="E121" s="387">
        <v>351951</v>
      </c>
      <c r="F121" s="597" t="s">
        <v>4691</v>
      </c>
      <c r="G121" s="578">
        <v>101.95</v>
      </c>
      <c r="H121" s="597">
        <v>3608984</v>
      </c>
      <c r="I121" s="597"/>
      <c r="J121" s="327" t="s">
        <v>4689</v>
      </c>
      <c r="K121" s="328"/>
      <c r="L121" s="328"/>
      <c r="M121" s="328"/>
      <c r="N121" s="328"/>
      <c r="O121" s="328"/>
      <c r="P121" s="328"/>
      <c r="Q121" s="328"/>
      <c r="R121" s="328"/>
      <c r="S121" s="328"/>
    </row>
    <row r="122" spans="1:19" s="409" customFormat="1" x14ac:dyDescent="0.25">
      <c r="A122" s="368" t="s">
        <v>4703</v>
      </c>
      <c r="B122" s="327" t="s">
        <v>121</v>
      </c>
      <c r="C122" s="327"/>
      <c r="D122" s="581" t="s">
        <v>1897</v>
      </c>
      <c r="E122" s="387">
        <v>352658</v>
      </c>
      <c r="F122" s="597" t="s">
        <v>4762</v>
      </c>
      <c r="G122" s="578">
        <v>56.2</v>
      </c>
      <c r="H122" s="597">
        <v>3637916</v>
      </c>
      <c r="I122" s="597"/>
      <c r="J122" s="327" t="s">
        <v>4706</v>
      </c>
      <c r="K122" s="328"/>
      <c r="L122" s="328"/>
      <c r="M122" s="328"/>
      <c r="N122" s="328"/>
      <c r="O122" s="328"/>
      <c r="P122" s="328"/>
      <c r="Q122" s="328"/>
      <c r="R122" s="328"/>
      <c r="S122" s="328"/>
    </row>
    <row r="123" spans="1:19" s="409" customFormat="1" x14ac:dyDescent="0.25">
      <c r="A123" s="368" t="s">
        <v>4829</v>
      </c>
      <c r="B123" s="327" t="s">
        <v>121</v>
      </c>
      <c r="C123" s="327"/>
      <c r="D123" s="581" t="s">
        <v>4834</v>
      </c>
      <c r="E123" s="387">
        <v>215865</v>
      </c>
      <c r="F123" s="597" t="s">
        <v>4837</v>
      </c>
      <c r="G123" s="578">
        <v>35.01</v>
      </c>
      <c r="H123" s="597">
        <v>3681420</v>
      </c>
      <c r="I123" s="597"/>
      <c r="J123" s="327" t="s">
        <v>4835</v>
      </c>
      <c r="K123" s="328"/>
      <c r="L123" s="328"/>
      <c r="M123" s="328"/>
      <c r="N123" s="328"/>
      <c r="O123" s="328"/>
      <c r="P123" s="328"/>
      <c r="Q123" s="328"/>
      <c r="R123" s="328"/>
      <c r="S123" s="328"/>
    </row>
    <row r="124" spans="1:19" s="409" customFormat="1" x14ac:dyDescent="0.25">
      <c r="A124" s="368" t="s">
        <v>4862</v>
      </c>
      <c r="B124" s="327" t="s">
        <v>121</v>
      </c>
      <c r="C124" s="327"/>
      <c r="D124" s="581" t="s">
        <v>4432</v>
      </c>
      <c r="E124" s="387">
        <v>350498</v>
      </c>
      <c r="F124" s="597" t="s">
        <v>4833</v>
      </c>
      <c r="G124" s="578">
        <v>-32.450000000000003</v>
      </c>
      <c r="H124" s="597">
        <v>3683204</v>
      </c>
      <c r="I124" s="597"/>
      <c r="J124" s="327" t="s">
        <v>4863</v>
      </c>
      <c r="K124" s="328"/>
      <c r="L124" s="328"/>
      <c r="M124" s="328"/>
      <c r="N124" s="328"/>
      <c r="O124" s="328"/>
      <c r="P124" s="328"/>
      <c r="Q124" s="328"/>
      <c r="R124" s="328"/>
      <c r="S124" s="328"/>
    </row>
    <row r="125" spans="1:19" s="409" customFormat="1" x14ac:dyDescent="0.25">
      <c r="A125" s="368" t="s">
        <v>4862</v>
      </c>
      <c r="B125" s="327" t="s">
        <v>121</v>
      </c>
      <c r="C125" s="327"/>
      <c r="D125" s="581" t="s">
        <v>4873</v>
      </c>
      <c r="E125" s="387">
        <v>350856</v>
      </c>
      <c r="F125" s="597" t="s">
        <v>4871</v>
      </c>
      <c r="G125" s="578">
        <v>194.9</v>
      </c>
      <c r="H125" s="597">
        <v>3696048</v>
      </c>
      <c r="I125" s="597"/>
      <c r="J125" s="327" t="s">
        <v>4870</v>
      </c>
      <c r="K125" s="328"/>
      <c r="L125" s="328"/>
      <c r="M125" s="328"/>
      <c r="N125" s="328"/>
      <c r="O125" s="328"/>
      <c r="P125" s="328"/>
      <c r="Q125" s="328"/>
      <c r="R125" s="328"/>
      <c r="S125" s="328"/>
    </row>
    <row r="126" spans="1:19" s="409" customFormat="1" x14ac:dyDescent="0.25">
      <c r="A126" s="368" t="s">
        <v>4862</v>
      </c>
      <c r="B126" s="327" t="s">
        <v>121</v>
      </c>
      <c r="C126" s="327"/>
      <c r="D126" s="581" t="s">
        <v>4873</v>
      </c>
      <c r="E126" s="387">
        <v>350856</v>
      </c>
      <c r="F126" s="597" t="s">
        <v>4872</v>
      </c>
      <c r="G126" s="578">
        <v>118.9</v>
      </c>
      <c r="H126" s="597">
        <v>3699595</v>
      </c>
      <c r="I126" s="597"/>
      <c r="J126" s="327" t="s">
        <v>4870</v>
      </c>
      <c r="K126" s="328"/>
      <c r="L126" s="328"/>
      <c r="M126" s="328"/>
      <c r="N126" s="328"/>
      <c r="O126" s="328"/>
      <c r="P126" s="328"/>
      <c r="Q126" s="328"/>
      <c r="R126" s="328"/>
      <c r="S126" s="328"/>
    </row>
    <row r="127" spans="1:19" s="409" customFormat="1" x14ac:dyDescent="0.25">
      <c r="A127" s="368" t="s">
        <v>4891</v>
      </c>
      <c r="B127" s="327" t="s">
        <v>121</v>
      </c>
      <c r="C127" s="327"/>
      <c r="D127" s="581" t="s">
        <v>1532</v>
      </c>
      <c r="E127" s="387">
        <v>351345</v>
      </c>
      <c r="F127" s="597" t="s">
        <v>4898</v>
      </c>
      <c r="G127" s="578">
        <v>76.48</v>
      </c>
      <c r="H127" s="597">
        <v>3788043</v>
      </c>
      <c r="I127" s="597"/>
      <c r="J127" s="327" t="s">
        <v>4897</v>
      </c>
      <c r="K127" s="328"/>
      <c r="L127" s="328"/>
      <c r="M127" s="328"/>
      <c r="N127" s="328"/>
      <c r="O127" s="328"/>
      <c r="P127" s="328"/>
      <c r="Q127" s="328"/>
      <c r="R127" s="328"/>
      <c r="S127" s="328"/>
    </row>
    <row r="128" spans="1:19" s="409" customFormat="1" x14ac:dyDescent="0.25">
      <c r="A128" s="368" t="s">
        <v>4906</v>
      </c>
      <c r="B128" s="327" t="s">
        <v>121</v>
      </c>
      <c r="C128" s="327"/>
      <c r="D128" s="581" t="s">
        <v>4082</v>
      </c>
      <c r="E128" s="387">
        <v>222476</v>
      </c>
      <c r="F128" s="597" t="s">
        <v>5074</v>
      </c>
      <c r="G128" s="578">
        <v>27.6</v>
      </c>
      <c r="H128" s="597">
        <v>3645360</v>
      </c>
      <c r="I128" s="597"/>
      <c r="J128" s="327" t="s">
        <v>5060</v>
      </c>
      <c r="K128" s="328"/>
      <c r="L128" s="328"/>
      <c r="M128" s="328"/>
      <c r="N128" s="328"/>
      <c r="O128" s="328"/>
      <c r="P128" s="328"/>
      <c r="Q128" s="328"/>
      <c r="R128" s="328"/>
      <c r="S128" s="328"/>
    </row>
    <row r="129" spans="1:19" s="409" customFormat="1" x14ac:dyDescent="0.25">
      <c r="A129" s="368" t="s">
        <v>4906</v>
      </c>
      <c r="B129" s="327" t="s">
        <v>121</v>
      </c>
      <c r="C129" s="327"/>
      <c r="D129" s="581" t="s">
        <v>4082</v>
      </c>
      <c r="E129" s="387">
        <v>222476</v>
      </c>
      <c r="F129" s="597" t="s">
        <v>5067</v>
      </c>
      <c r="G129" s="578">
        <f>59.7</f>
        <v>59.7</v>
      </c>
      <c r="H129" s="597">
        <v>3646789</v>
      </c>
      <c r="I129" s="597"/>
      <c r="J129" s="327" t="s">
        <v>5060</v>
      </c>
      <c r="K129" s="328"/>
      <c r="L129" s="328"/>
      <c r="M129" s="328"/>
      <c r="N129" s="328"/>
      <c r="O129" s="328"/>
      <c r="P129" s="328"/>
      <c r="Q129" s="328"/>
      <c r="R129" s="328"/>
      <c r="S129" s="328"/>
    </row>
    <row r="130" spans="1:19" s="409" customFormat="1" x14ac:dyDescent="0.25">
      <c r="A130" s="368" t="s">
        <v>4906</v>
      </c>
      <c r="B130" s="327" t="s">
        <v>121</v>
      </c>
      <c r="C130" s="327"/>
      <c r="D130" s="581" t="s">
        <v>195</v>
      </c>
      <c r="E130" s="387">
        <v>352746</v>
      </c>
      <c r="F130" s="597" t="s">
        <v>4913</v>
      </c>
      <c r="G130" s="578">
        <v>28.26</v>
      </c>
      <c r="H130" s="597">
        <v>3801392</v>
      </c>
      <c r="I130" s="597"/>
      <c r="J130" s="327" t="s">
        <v>4909</v>
      </c>
      <c r="K130" s="328"/>
      <c r="L130" s="328"/>
      <c r="M130" s="328"/>
      <c r="N130" s="328"/>
      <c r="O130" s="328"/>
      <c r="P130" s="328"/>
      <c r="Q130" s="328"/>
      <c r="R130" s="328"/>
      <c r="S130" s="328"/>
    </row>
    <row r="131" spans="1:19" s="409" customFormat="1" x14ac:dyDescent="0.25">
      <c r="A131" s="368" t="s">
        <v>4906</v>
      </c>
      <c r="B131" s="327" t="s">
        <v>121</v>
      </c>
      <c r="C131" s="327"/>
      <c r="D131" s="581" t="s">
        <v>1270</v>
      </c>
      <c r="E131" s="387">
        <v>216262</v>
      </c>
      <c r="F131" s="597" t="s">
        <v>4931</v>
      </c>
      <c r="G131" s="578">
        <v>30.65</v>
      </c>
      <c r="H131" s="597">
        <v>46229257</v>
      </c>
      <c r="I131" s="597"/>
      <c r="J131" s="327" t="s">
        <v>4918</v>
      </c>
      <c r="K131" s="328"/>
      <c r="L131" s="328"/>
      <c r="M131" s="328"/>
      <c r="N131" s="328"/>
      <c r="O131" s="328"/>
      <c r="P131" s="328"/>
      <c r="Q131" s="328"/>
      <c r="R131" s="328"/>
      <c r="S131" s="328"/>
    </row>
    <row r="132" spans="1:19" s="409" customFormat="1" x14ac:dyDescent="0.25">
      <c r="A132" s="368" t="s">
        <v>5158</v>
      </c>
      <c r="B132" s="327" t="s">
        <v>121</v>
      </c>
      <c r="C132" s="327"/>
      <c r="D132" s="581" t="s">
        <v>5155</v>
      </c>
      <c r="E132" s="387">
        <v>350359</v>
      </c>
      <c r="F132" s="597" t="s">
        <v>5157</v>
      </c>
      <c r="G132" s="578">
        <v>-320.89999999999998</v>
      </c>
      <c r="H132" s="597">
        <v>3109</v>
      </c>
      <c r="I132" s="597"/>
      <c r="J132" s="327" t="s">
        <v>5156</v>
      </c>
      <c r="K132" s="328"/>
      <c r="L132" s="328"/>
      <c r="M132" s="328"/>
      <c r="N132" s="328"/>
      <c r="O132" s="328"/>
      <c r="P132" s="328"/>
      <c r="Q132" s="328"/>
      <c r="R132" s="328"/>
      <c r="S132" s="328"/>
    </row>
    <row r="133" spans="1:19" s="409" customFormat="1" x14ac:dyDescent="0.25">
      <c r="A133" s="368" t="s">
        <v>5158</v>
      </c>
      <c r="B133" s="327" t="s">
        <v>121</v>
      </c>
      <c r="C133" s="327"/>
      <c r="D133" s="581" t="s">
        <v>1392</v>
      </c>
      <c r="E133" s="387">
        <v>226206</v>
      </c>
      <c r="F133" s="597">
        <v>4068</v>
      </c>
      <c r="G133" s="578">
        <v>-105.09</v>
      </c>
      <c r="H133" s="597">
        <v>4068</v>
      </c>
      <c r="I133" s="597"/>
      <c r="J133" s="327" t="s">
        <v>5160</v>
      </c>
      <c r="K133" s="328"/>
      <c r="L133" s="328"/>
      <c r="M133" s="328"/>
      <c r="N133" s="328"/>
      <c r="O133" s="328"/>
      <c r="P133" s="328"/>
      <c r="Q133" s="328"/>
      <c r="R133" s="328"/>
      <c r="S133" s="328"/>
    </row>
    <row r="134" spans="1:19" s="409" customFormat="1" x14ac:dyDescent="0.25">
      <c r="A134" s="368" t="s">
        <v>5158</v>
      </c>
      <c r="B134" s="327" t="s">
        <v>121</v>
      </c>
      <c r="C134" s="327"/>
      <c r="D134" s="581" t="s">
        <v>5165</v>
      </c>
      <c r="E134" s="387">
        <v>351018</v>
      </c>
      <c r="F134" s="597" t="s">
        <v>5166</v>
      </c>
      <c r="G134" s="578">
        <v>43.85</v>
      </c>
      <c r="H134" s="597">
        <v>3881763</v>
      </c>
      <c r="I134" s="597"/>
      <c r="J134" s="327" t="s">
        <v>5163</v>
      </c>
      <c r="K134" s="328"/>
      <c r="L134" s="328"/>
      <c r="M134" s="328"/>
      <c r="N134" s="328"/>
      <c r="O134" s="328"/>
      <c r="P134" s="328"/>
      <c r="Q134" s="328"/>
      <c r="R134" s="328"/>
      <c r="S134" s="328"/>
    </row>
    <row r="135" spans="1:19" s="409" customFormat="1" x14ac:dyDescent="0.25">
      <c r="A135" s="368" t="s">
        <v>5158</v>
      </c>
      <c r="B135" s="327" t="s">
        <v>121</v>
      </c>
      <c r="C135" s="327"/>
      <c r="D135" s="581" t="s">
        <v>2349</v>
      </c>
      <c r="E135" s="387">
        <v>213128</v>
      </c>
      <c r="F135" s="597" t="s">
        <v>5182</v>
      </c>
      <c r="G135" s="578">
        <v>226.51</v>
      </c>
      <c r="H135" s="597">
        <v>3868893</v>
      </c>
      <c r="I135" s="597"/>
      <c r="J135" s="327" t="s">
        <v>5178</v>
      </c>
      <c r="K135" s="328"/>
      <c r="L135" s="328"/>
      <c r="M135" s="328"/>
      <c r="N135" s="328"/>
      <c r="O135" s="328"/>
      <c r="P135" s="328"/>
      <c r="Q135" s="328"/>
      <c r="R135" s="328"/>
      <c r="S135" s="328"/>
    </row>
    <row r="136" spans="1:19" s="409" customFormat="1" x14ac:dyDescent="0.25">
      <c r="A136" s="368" t="s">
        <v>5186</v>
      </c>
      <c r="B136" s="327" t="s">
        <v>121</v>
      </c>
      <c r="C136" s="327"/>
      <c r="D136" s="581" t="s">
        <v>5176</v>
      </c>
      <c r="E136" s="387">
        <v>216789</v>
      </c>
      <c r="F136" s="597">
        <v>4299</v>
      </c>
      <c r="G136" s="578">
        <v>-102.85</v>
      </c>
      <c r="H136" s="597">
        <v>4299</v>
      </c>
      <c r="I136" s="597"/>
      <c r="J136" s="327" t="s">
        <v>5188</v>
      </c>
      <c r="K136" s="328"/>
      <c r="L136" s="328"/>
      <c r="M136" s="328"/>
      <c r="N136" s="328"/>
      <c r="O136" s="328"/>
      <c r="P136" s="328"/>
      <c r="Q136" s="328"/>
      <c r="R136" s="328"/>
      <c r="S136" s="328"/>
    </row>
    <row r="137" spans="1:19" s="409" customFormat="1" x14ac:dyDescent="0.25">
      <c r="A137" s="368" t="s">
        <v>5186</v>
      </c>
      <c r="B137" s="327" t="s">
        <v>121</v>
      </c>
      <c r="C137" s="327"/>
      <c r="D137" s="581" t="s">
        <v>5190</v>
      </c>
      <c r="E137" s="387">
        <v>352651</v>
      </c>
      <c r="F137" s="597">
        <v>5368</v>
      </c>
      <c r="G137" s="578">
        <v>-87.86</v>
      </c>
      <c r="H137" s="597">
        <v>5368</v>
      </c>
      <c r="I137" s="597"/>
      <c r="J137" s="327" t="s">
        <v>5189</v>
      </c>
      <c r="K137" s="328"/>
      <c r="L137" s="328"/>
      <c r="M137" s="328"/>
      <c r="N137" s="328"/>
      <c r="O137" s="328"/>
      <c r="P137" s="328"/>
      <c r="Q137" s="328"/>
      <c r="R137" s="328"/>
      <c r="S137" s="328"/>
    </row>
    <row r="138" spans="1:19" s="409" customFormat="1" x14ac:dyDescent="0.25">
      <c r="A138" s="368" t="s">
        <v>5186</v>
      </c>
      <c r="B138" s="327" t="s">
        <v>121</v>
      </c>
      <c r="C138" s="327"/>
      <c r="D138" s="581" t="s">
        <v>4364</v>
      </c>
      <c r="E138" s="387">
        <v>212285</v>
      </c>
      <c r="F138" s="597">
        <v>4622</v>
      </c>
      <c r="G138" s="578">
        <v>-63.13</v>
      </c>
      <c r="H138" s="597">
        <v>4622</v>
      </c>
      <c r="I138" s="597"/>
      <c r="J138" s="327" t="s">
        <v>5192</v>
      </c>
      <c r="K138" s="328"/>
      <c r="L138" s="328"/>
      <c r="M138" s="328"/>
      <c r="N138" s="328"/>
      <c r="O138" s="328"/>
      <c r="P138" s="328"/>
      <c r="Q138" s="328"/>
      <c r="R138" s="328"/>
      <c r="S138" s="328"/>
    </row>
    <row r="139" spans="1:19" s="409" customFormat="1" x14ac:dyDescent="0.25">
      <c r="A139" s="368" t="s">
        <v>5186</v>
      </c>
      <c r="B139" s="327" t="s">
        <v>121</v>
      </c>
      <c r="C139" s="327"/>
      <c r="D139" s="581" t="s">
        <v>3945</v>
      </c>
      <c r="E139" s="387">
        <v>352916</v>
      </c>
      <c r="F139" s="597">
        <v>5366</v>
      </c>
      <c r="G139" s="578">
        <v>44.38</v>
      </c>
      <c r="H139" s="597">
        <v>5366</v>
      </c>
      <c r="I139" s="597"/>
      <c r="J139" s="327" t="s">
        <v>5196</v>
      </c>
      <c r="K139" s="328"/>
      <c r="L139" s="328"/>
      <c r="M139" s="328"/>
      <c r="N139" s="328"/>
      <c r="O139" s="328"/>
      <c r="P139" s="328"/>
      <c r="Q139" s="328"/>
      <c r="R139" s="328"/>
      <c r="S139" s="328"/>
    </row>
    <row r="140" spans="1:19" x14ac:dyDescent="0.25">
      <c r="A140" s="388" t="s">
        <v>5227</v>
      </c>
      <c r="B140" s="11" t="s">
        <v>121</v>
      </c>
      <c r="D140" s="14" t="s">
        <v>2993</v>
      </c>
      <c r="E140" s="378">
        <v>487</v>
      </c>
      <c r="F140" s="11">
        <v>8532</v>
      </c>
      <c r="G140" s="389">
        <v>-173.2</v>
      </c>
      <c r="H140" s="11">
        <v>8532</v>
      </c>
      <c r="I140" s="597"/>
      <c r="J140" s="26" t="s">
        <v>5229</v>
      </c>
    </row>
    <row r="141" spans="1:19" x14ac:dyDescent="0.25">
      <c r="A141" s="388" t="s">
        <v>5227</v>
      </c>
      <c r="B141" s="11" t="s">
        <v>121</v>
      </c>
      <c r="D141" s="14" t="s">
        <v>2098</v>
      </c>
      <c r="E141" s="378">
        <v>351064</v>
      </c>
      <c r="F141" s="11">
        <v>7488</v>
      </c>
      <c r="G141" s="389">
        <v>-26.19</v>
      </c>
      <c r="H141" s="11">
        <v>7488</v>
      </c>
      <c r="I141" s="597"/>
      <c r="J141" s="26" t="s">
        <v>5230</v>
      </c>
    </row>
    <row r="142" spans="1:19" x14ac:dyDescent="0.25">
      <c r="A142" s="388" t="s">
        <v>5227</v>
      </c>
      <c r="B142" s="11" t="s">
        <v>121</v>
      </c>
      <c r="D142" s="14" t="s">
        <v>212</v>
      </c>
      <c r="E142" s="378">
        <v>350843</v>
      </c>
      <c r="F142" s="11">
        <v>8061</v>
      </c>
      <c r="G142" s="389">
        <v>-88.63</v>
      </c>
      <c r="H142" s="11">
        <v>8061</v>
      </c>
      <c r="I142" s="597"/>
      <c r="J142" s="26" t="s">
        <v>5231</v>
      </c>
    </row>
    <row r="143" spans="1:19" x14ac:dyDescent="0.25">
      <c r="A143" s="388" t="s">
        <v>5227</v>
      </c>
      <c r="B143" s="11" t="s">
        <v>121</v>
      </c>
      <c r="D143" s="14" t="s">
        <v>1477</v>
      </c>
      <c r="E143" s="378">
        <v>82146</v>
      </c>
      <c r="F143" s="11">
        <v>7491</v>
      </c>
      <c r="G143" s="389">
        <v>-93.82</v>
      </c>
      <c r="H143" s="11">
        <v>7491</v>
      </c>
      <c r="J143" s="26" t="s">
        <v>5232</v>
      </c>
    </row>
    <row r="144" spans="1:19" x14ac:dyDescent="0.25">
      <c r="A144" s="388" t="s">
        <v>5227</v>
      </c>
      <c r="B144" s="11" t="s">
        <v>121</v>
      </c>
      <c r="D144" s="14" t="s">
        <v>2320</v>
      </c>
      <c r="E144" s="378">
        <v>351288</v>
      </c>
      <c r="F144" s="11">
        <v>8977</v>
      </c>
      <c r="G144" s="389">
        <v>-41.39</v>
      </c>
      <c r="H144" s="11">
        <v>8977</v>
      </c>
      <c r="J144" s="26" t="s">
        <v>5233</v>
      </c>
    </row>
    <row r="145" spans="1:19" x14ac:dyDescent="0.25">
      <c r="A145" s="388" t="s">
        <v>5227</v>
      </c>
      <c r="B145" s="11" t="s">
        <v>121</v>
      </c>
      <c r="D145" s="14" t="s">
        <v>3965</v>
      </c>
      <c r="E145" s="378">
        <v>351729</v>
      </c>
      <c r="F145" s="11">
        <v>8789</v>
      </c>
      <c r="G145" s="389">
        <v>-292.07</v>
      </c>
      <c r="H145" s="11">
        <v>8789</v>
      </c>
      <c r="J145" s="26" t="s">
        <v>5234</v>
      </c>
    </row>
    <row r="146" spans="1:19" s="409" customFormat="1" x14ac:dyDescent="0.25">
      <c r="A146" s="368" t="s">
        <v>5240</v>
      </c>
      <c r="B146" s="327" t="s">
        <v>121</v>
      </c>
      <c r="C146" s="327"/>
      <c r="D146" s="581" t="s">
        <v>5245</v>
      </c>
      <c r="E146" s="387">
        <v>353153</v>
      </c>
      <c r="F146" s="597">
        <v>10707</v>
      </c>
      <c r="G146" s="578">
        <v>-167.58</v>
      </c>
      <c r="H146" s="597">
        <v>10707</v>
      </c>
      <c r="I146" s="11"/>
      <c r="J146" s="327" t="s">
        <v>5244</v>
      </c>
      <c r="K146" s="328"/>
      <c r="L146" s="328"/>
      <c r="M146" s="328"/>
      <c r="N146" s="328"/>
      <c r="O146" s="328"/>
      <c r="P146" s="328"/>
      <c r="Q146" s="328"/>
      <c r="R146" s="328"/>
      <c r="S146" s="328"/>
    </row>
    <row r="147" spans="1:19" s="409" customFormat="1" x14ac:dyDescent="0.25">
      <c r="A147" s="368" t="s">
        <v>5240</v>
      </c>
      <c r="B147" s="327" t="s">
        <v>121</v>
      </c>
      <c r="C147" s="327"/>
      <c r="D147" s="581" t="s">
        <v>5248</v>
      </c>
      <c r="E147" s="387">
        <v>2035</v>
      </c>
      <c r="F147" s="597">
        <v>9646</v>
      </c>
      <c r="G147" s="578">
        <v>-69.95</v>
      </c>
      <c r="H147" s="597">
        <v>9646</v>
      </c>
      <c r="I147" s="11"/>
      <c r="J147" s="327" t="s">
        <v>5246</v>
      </c>
      <c r="K147" s="328"/>
      <c r="L147" s="328"/>
      <c r="M147" s="328"/>
      <c r="N147" s="328"/>
      <c r="O147" s="328"/>
      <c r="P147" s="328"/>
      <c r="Q147" s="328"/>
      <c r="R147" s="328"/>
      <c r="S147" s="328"/>
    </row>
    <row r="148" spans="1:19" s="409" customFormat="1" x14ac:dyDescent="0.25">
      <c r="A148" s="368" t="s">
        <v>5240</v>
      </c>
      <c r="B148" s="327" t="s">
        <v>121</v>
      </c>
      <c r="C148" s="327"/>
      <c r="D148" s="581" t="s">
        <v>317</v>
      </c>
      <c r="E148" s="387">
        <v>772</v>
      </c>
      <c r="F148" s="597">
        <v>9946</v>
      </c>
      <c r="G148" s="578">
        <v>-47.93</v>
      </c>
      <c r="H148" s="597">
        <v>9946</v>
      </c>
      <c r="I148" s="597"/>
      <c r="J148" s="327" t="s">
        <v>5247</v>
      </c>
      <c r="K148" s="328"/>
      <c r="L148" s="328"/>
      <c r="M148" s="328"/>
      <c r="N148" s="328"/>
      <c r="O148" s="328"/>
      <c r="P148" s="328"/>
      <c r="Q148" s="328"/>
      <c r="R148" s="328"/>
      <c r="S148" s="328"/>
    </row>
    <row r="149" spans="1:19" s="409" customFormat="1" x14ac:dyDescent="0.25">
      <c r="A149" s="368" t="s">
        <v>5240</v>
      </c>
      <c r="B149" s="327" t="s">
        <v>121</v>
      </c>
      <c r="C149" s="327"/>
      <c r="D149" s="581" t="s">
        <v>1379</v>
      </c>
      <c r="E149" s="387">
        <v>217835</v>
      </c>
      <c r="F149" s="597">
        <v>10189</v>
      </c>
      <c r="G149" s="578">
        <v>-21.16</v>
      </c>
      <c r="H149" s="597">
        <v>10189</v>
      </c>
      <c r="I149" s="597"/>
      <c r="J149" s="327" t="s">
        <v>5249</v>
      </c>
      <c r="K149" s="328"/>
      <c r="L149" s="328"/>
      <c r="M149" s="328"/>
      <c r="N149" s="328"/>
      <c r="O149" s="328"/>
      <c r="P149" s="328"/>
      <c r="Q149" s="328"/>
      <c r="R149" s="328"/>
      <c r="S149" s="328"/>
    </row>
    <row r="150" spans="1:19" s="409" customFormat="1" x14ac:dyDescent="0.25">
      <c r="A150" s="368" t="s">
        <v>5282</v>
      </c>
      <c r="B150" s="327" t="s">
        <v>121</v>
      </c>
      <c r="C150" s="327"/>
      <c r="D150" s="581" t="s">
        <v>1245</v>
      </c>
      <c r="E150" s="387">
        <v>5993</v>
      </c>
      <c r="F150" s="597" t="s">
        <v>5284</v>
      </c>
      <c r="G150" s="578">
        <v>59.95</v>
      </c>
      <c r="H150" s="597">
        <v>3925502</v>
      </c>
      <c r="I150" s="597"/>
      <c r="J150" s="327" t="s">
        <v>5283</v>
      </c>
      <c r="K150" s="328"/>
      <c r="L150" s="328"/>
      <c r="M150" s="328"/>
      <c r="N150" s="328"/>
      <c r="O150" s="328"/>
      <c r="P150" s="328"/>
      <c r="Q150" s="328"/>
      <c r="R150" s="328"/>
      <c r="S150" s="328"/>
    </row>
    <row r="151" spans="1:19" s="409" customFormat="1" x14ac:dyDescent="0.25">
      <c r="A151" s="368" t="s">
        <v>5282</v>
      </c>
      <c r="B151" s="327" t="s">
        <v>121</v>
      </c>
      <c r="C151" s="327"/>
      <c r="D151" s="581" t="s">
        <v>1392</v>
      </c>
      <c r="E151" s="387">
        <v>226206</v>
      </c>
      <c r="F151" s="597" t="s">
        <v>5286</v>
      </c>
      <c r="G151" s="578">
        <f>-190.46+49.9</f>
        <v>-140.56</v>
      </c>
      <c r="H151" s="597">
        <v>14131</v>
      </c>
      <c r="I151" s="597"/>
      <c r="J151" s="327" t="s">
        <v>5285</v>
      </c>
      <c r="K151" s="328"/>
      <c r="L151" s="328"/>
      <c r="M151" s="328"/>
      <c r="N151" s="328"/>
      <c r="O151" s="328"/>
      <c r="P151" s="328"/>
      <c r="Q151" s="328"/>
      <c r="R151" s="328"/>
      <c r="S151" s="328"/>
    </row>
    <row r="152" spans="1:19" s="409" customFormat="1" x14ac:dyDescent="0.25">
      <c r="A152" s="368" t="s">
        <v>5282</v>
      </c>
      <c r="B152" s="327" t="s">
        <v>121</v>
      </c>
      <c r="C152" s="327"/>
      <c r="D152" s="581" t="s">
        <v>1392</v>
      </c>
      <c r="E152" s="387">
        <v>226206</v>
      </c>
      <c r="F152" s="597">
        <v>14450</v>
      </c>
      <c r="G152" s="578">
        <v>46.61</v>
      </c>
      <c r="H152" s="597">
        <v>14450</v>
      </c>
      <c r="I152" s="597"/>
      <c r="J152" s="327" t="s">
        <v>5285</v>
      </c>
      <c r="K152" s="328"/>
      <c r="L152" s="328"/>
      <c r="M152" s="328"/>
      <c r="N152" s="328"/>
      <c r="O152" s="328"/>
      <c r="P152" s="328"/>
      <c r="Q152" s="328"/>
      <c r="R152" s="328"/>
      <c r="S152" s="328"/>
    </row>
    <row r="153" spans="1:19" s="409" customFormat="1" x14ac:dyDescent="0.25">
      <c r="A153" s="368" t="s">
        <v>5282</v>
      </c>
      <c r="B153" s="327" t="s">
        <v>121</v>
      </c>
      <c r="C153" s="327"/>
      <c r="D153" s="581" t="s">
        <v>2320</v>
      </c>
      <c r="E153" s="387">
        <v>351288</v>
      </c>
      <c r="F153" s="597">
        <v>11651</v>
      </c>
      <c r="G153" s="578">
        <f>-77.45+10</f>
        <v>-67.45</v>
      </c>
      <c r="H153" s="597">
        <v>11651</v>
      </c>
      <c r="I153" s="597"/>
      <c r="J153" s="327" t="s">
        <v>5287</v>
      </c>
      <c r="K153" s="328"/>
      <c r="L153" s="328"/>
      <c r="M153" s="328"/>
      <c r="N153" s="328"/>
      <c r="O153" s="328"/>
      <c r="P153" s="328"/>
      <c r="Q153" s="328"/>
      <c r="R153" s="328"/>
      <c r="S153" s="328"/>
    </row>
    <row r="154" spans="1:19" s="409" customFormat="1" x14ac:dyDescent="0.25">
      <c r="A154" s="368" t="s">
        <v>5282</v>
      </c>
      <c r="B154" s="327" t="s">
        <v>121</v>
      </c>
      <c r="C154" s="327"/>
      <c r="D154" s="581" t="s">
        <v>3659</v>
      </c>
      <c r="E154" s="387">
        <v>350467</v>
      </c>
      <c r="F154" s="597">
        <v>13040</v>
      </c>
      <c r="G154" s="578">
        <f>-68.09+20.43</f>
        <v>-47.660000000000004</v>
      </c>
      <c r="H154" s="597">
        <v>13040</v>
      </c>
      <c r="I154" s="597"/>
      <c r="J154" s="327" t="s">
        <v>5288</v>
      </c>
      <c r="K154" s="328"/>
      <c r="L154" s="328"/>
      <c r="M154" s="328"/>
      <c r="N154" s="328"/>
      <c r="O154" s="328"/>
      <c r="P154" s="328"/>
      <c r="Q154" s="328"/>
      <c r="R154" s="328"/>
      <c r="S154" s="328"/>
    </row>
    <row r="155" spans="1:19" s="409" customFormat="1" x14ac:dyDescent="0.25">
      <c r="A155" s="368" t="s">
        <v>5282</v>
      </c>
      <c r="B155" s="327" t="s">
        <v>121</v>
      </c>
      <c r="C155" s="327"/>
      <c r="D155" s="581" t="s">
        <v>5290</v>
      </c>
      <c r="E155" s="387">
        <v>119</v>
      </c>
      <c r="F155" s="597">
        <v>12032</v>
      </c>
      <c r="G155" s="578">
        <f>-68.09+10</f>
        <v>-58.09</v>
      </c>
      <c r="H155" s="597">
        <v>12032</v>
      </c>
      <c r="I155" s="597"/>
      <c r="J155" s="327" t="s">
        <v>5289</v>
      </c>
      <c r="K155" s="328"/>
      <c r="L155" s="328"/>
      <c r="M155" s="328"/>
      <c r="N155" s="328"/>
      <c r="O155" s="328"/>
      <c r="P155" s="328"/>
      <c r="Q155" s="328"/>
      <c r="R155" s="328"/>
      <c r="S155" s="328"/>
    </row>
    <row r="156" spans="1:19" s="409" customFormat="1" x14ac:dyDescent="0.25">
      <c r="A156" s="368" t="s">
        <v>5282</v>
      </c>
      <c r="B156" s="327" t="s">
        <v>121</v>
      </c>
      <c r="C156" s="327"/>
      <c r="D156" s="581" t="s">
        <v>5290</v>
      </c>
      <c r="E156" s="387">
        <v>119</v>
      </c>
      <c r="F156" s="597">
        <v>12026</v>
      </c>
      <c r="G156" s="578">
        <f>-66.15+10</f>
        <v>-56.150000000000006</v>
      </c>
      <c r="H156" s="597">
        <v>12026</v>
      </c>
      <c r="I156" s="597"/>
      <c r="J156" s="327" t="s">
        <v>5289</v>
      </c>
      <c r="K156" s="328"/>
      <c r="L156" s="328"/>
      <c r="M156" s="328"/>
      <c r="N156" s="328"/>
      <c r="O156" s="328"/>
      <c r="P156" s="328"/>
      <c r="Q156" s="328"/>
      <c r="R156" s="328"/>
      <c r="S156" s="328"/>
    </row>
    <row r="157" spans="1:19" s="409" customFormat="1" x14ac:dyDescent="0.25">
      <c r="A157" s="368" t="s">
        <v>5282</v>
      </c>
      <c r="B157" s="327" t="s">
        <v>121</v>
      </c>
      <c r="C157" s="327"/>
      <c r="D157" s="581" t="s">
        <v>2111</v>
      </c>
      <c r="E157" s="387">
        <v>352282</v>
      </c>
      <c r="F157" s="597">
        <v>13179</v>
      </c>
      <c r="G157" s="578">
        <f>-30.18+6.79</f>
        <v>-23.39</v>
      </c>
      <c r="H157" s="597">
        <v>13179</v>
      </c>
      <c r="I157" s="597"/>
      <c r="J157" s="327" t="s">
        <v>5291</v>
      </c>
      <c r="K157" s="328"/>
      <c r="L157" s="328"/>
      <c r="M157" s="328"/>
      <c r="N157" s="328"/>
      <c r="O157" s="328"/>
      <c r="P157" s="328"/>
      <c r="Q157" s="328"/>
      <c r="R157" s="328"/>
      <c r="S157" s="328"/>
    </row>
    <row r="158" spans="1:19" s="409" customFormat="1" x14ac:dyDescent="0.25">
      <c r="A158" s="368" t="s">
        <v>5282</v>
      </c>
      <c r="B158" s="327" t="s">
        <v>121</v>
      </c>
      <c r="C158" s="327"/>
      <c r="D158" s="581" t="s">
        <v>2116</v>
      </c>
      <c r="E158" s="387">
        <v>212814</v>
      </c>
      <c r="F158" s="597" t="s">
        <v>5293</v>
      </c>
      <c r="G158" s="578">
        <v>58.24</v>
      </c>
      <c r="H158" s="597">
        <v>4002489</v>
      </c>
      <c r="I158" s="597"/>
      <c r="J158" s="327" t="s">
        <v>5292</v>
      </c>
      <c r="K158" s="328"/>
      <c r="L158" s="328"/>
      <c r="M158" s="328"/>
      <c r="N158" s="328"/>
      <c r="O158" s="328"/>
      <c r="P158" s="328"/>
      <c r="Q158" s="328"/>
      <c r="R158" s="328"/>
      <c r="S158" s="328"/>
    </row>
    <row r="159" spans="1:19" s="409" customFormat="1" x14ac:dyDescent="0.25">
      <c r="A159" s="368" t="s">
        <v>5282</v>
      </c>
      <c r="B159" s="327" t="s">
        <v>121</v>
      </c>
      <c r="C159" s="327"/>
      <c r="D159" s="581" t="s">
        <v>59</v>
      </c>
      <c r="E159" s="387">
        <v>350569</v>
      </c>
      <c r="F159" s="597" t="s">
        <v>5295</v>
      </c>
      <c r="G159" s="578">
        <v>90.06</v>
      </c>
      <c r="H159" s="597">
        <v>3987493</v>
      </c>
      <c r="I159" s="597"/>
      <c r="J159" s="327" t="s">
        <v>5294</v>
      </c>
      <c r="K159" s="328"/>
      <c r="L159" s="328"/>
      <c r="M159" s="328"/>
      <c r="N159" s="328"/>
      <c r="O159" s="328"/>
      <c r="P159" s="328"/>
      <c r="Q159" s="328"/>
      <c r="R159" s="328"/>
      <c r="S159" s="328"/>
    </row>
    <row r="160" spans="1:19" s="409" customFormat="1" x14ac:dyDescent="0.25">
      <c r="A160" s="368" t="s">
        <v>5282</v>
      </c>
      <c r="B160" s="327" t="s">
        <v>121</v>
      </c>
      <c r="C160" s="327"/>
      <c r="D160" s="581" t="s">
        <v>1387</v>
      </c>
      <c r="E160" s="387">
        <v>218377</v>
      </c>
      <c r="F160" s="597" t="s">
        <v>5297</v>
      </c>
      <c r="G160" s="578">
        <v>167.95</v>
      </c>
      <c r="H160" s="597">
        <v>3982154</v>
      </c>
      <c r="I160" s="597"/>
      <c r="J160" s="327" t="s">
        <v>5296</v>
      </c>
      <c r="K160" s="328"/>
      <c r="L160" s="328"/>
      <c r="M160" s="328"/>
      <c r="N160" s="328"/>
      <c r="O160" s="328"/>
      <c r="P160" s="328"/>
      <c r="Q160" s="328"/>
      <c r="R160" s="328"/>
      <c r="S160" s="328"/>
    </row>
    <row r="161" spans="1:19" s="409" customFormat="1" x14ac:dyDescent="0.25">
      <c r="A161" s="368" t="s">
        <v>5282</v>
      </c>
      <c r="B161" s="327" t="s">
        <v>121</v>
      </c>
      <c r="C161" s="327"/>
      <c r="D161" s="581" t="s">
        <v>2071</v>
      </c>
      <c r="E161" s="387">
        <v>351849</v>
      </c>
      <c r="F161" s="597" t="s">
        <v>5300</v>
      </c>
      <c r="G161" s="578">
        <v>28.9</v>
      </c>
      <c r="H161" s="597">
        <v>4000200</v>
      </c>
      <c r="I161" s="597"/>
      <c r="J161" s="327" t="s">
        <v>5299</v>
      </c>
      <c r="K161" s="328"/>
      <c r="L161" s="328"/>
      <c r="M161" s="328"/>
      <c r="N161" s="328"/>
      <c r="O161" s="328"/>
      <c r="P161" s="328"/>
      <c r="Q161" s="328"/>
      <c r="R161" s="328"/>
      <c r="S161" s="328"/>
    </row>
    <row r="162" spans="1:19" s="409" customFormat="1" x14ac:dyDescent="0.25">
      <c r="A162" s="368" t="s">
        <v>5282</v>
      </c>
      <c r="B162" s="327" t="s">
        <v>121</v>
      </c>
      <c r="C162" s="327"/>
      <c r="D162" s="581" t="s">
        <v>5298</v>
      </c>
      <c r="E162" s="387">
        <v>353966</v>
      </c>
      <c r="F162" s="597"/>
      <c r="G162" s="578">
        <v>75.23</v>
      </c>
      <c r="H162" s="597"/>
      <c r="I162" s="597"/>
      <c r="J162" s="327" t="s">
        <v>2374</v>
      </c>
      <c r="K162" s="328"/>
      <c r="L162" s="328"/>
      <c r="M162" s="328"/>
      <c r="N162" s="328"/>
      <c r="O162" s="328"/>
      <c r="P162" s="328"/>
      <c r="Q162" s="328"/>
      <c r="R162" s="328"/>
      <c r="S162" s="328"/>
    </row>
  </sheetData>
  <sortState ref="A140:T236">
    <sortCondition ref="H140:H23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74"/>
  <sheetViews>
    <sheetView tabSelected="1" workbookViewId="0">
      <pane ySplit="1" topLeftCell="A557" activePane="bottomLeft" state="frozen"/>
      <selection pane="bottomLeft" activeCell="A565" sqref="A565"/>
    </sheetView>
  </sheetViews>
  <sheetFormatPr defaultColWidth="8.7109375" defaultRowHeight="15" x14ac:dyDescent="0.25"/>
  <cols>
    <col min="1" max="1" width="16.7109375" style="213" customWidth="1"/>
    <col min="2" max="2" width="8.7109375" style="117"/>
    <col min="3" max="3" width="16.85546875" style="12" customWidth="1"/>
    <col min="4" max="4" width="13.140625" style="60" bestFit="1" customWidth="1"/>
    <col min="5" max="5" width="8.7109375" style="111"/>
    <col min="6" max="6" width="8.7109375" style="12"/>
    <col min="7" max="7" width="10.28515625" style="101" bestFit="1" customWidth="1"/>
    <col min="8" max="8" width="8.7109375" style="113"/>
    <col min="9" max="9" width="8.7109375" style="12" customWidth="1"/>
    <col min="10" max="10" width="52.7109375" style="113" customWidth="1"/>
    <col min="11" max="16384" width="8.7109375" style="12"/>
  </cols>
  <sheetData>
    <row r="1" spans="1:14" s="158" customFormat="1" ht="13.9" x14ac:dyDescent="0.25">
      <c r="A1" s="49" t="s">
        <v>228</v>
      </c>
      <c r="B1" s="3" t="s">
        <v>229</v>
      </c>
      <c r="C1" s="3" t="s">
        <v>230</v>
      </c>
      <c r="D1" s="116" t="s">
        <v>231</v>
      </c>
      <c r="E1" s="3" t="s">
        <v>232</v>
      </c>
      <c r="F1" s="104" t="s">
        <v>233</v>
      </c>
      <c r="G1" s="174" t="s">
        <v>234</v>
      </c>
      <c r="H1" s="171" t="s">
        <v>235</v>
      </c>
      <c r="I1" s="159"/>
      <c r="J1" s="166" t="s">
        <v>236</v>
      </c>
    </row>
    <row r="2" spans="1:14" ht="13.9" x14ac:dyDescent="0.25">
      <c r="A2" s="37">
        <v>42646</v>
      </c>
      <c r="B2" s="38" t="s">
        <v>127</v>
      </c>
      <c r="C2" s="16"/>
      <c r="D2" s="38">
        <v>376270713997</v>
      </c>
      <c r="E2" s="73">
        <v>351215</v>
      </c>
      <c r="F2" s="16"/>
      <c r="G2" s="86">
        <v>55.8</v>
      </c>
      <c r="H2" s="31" t="s">
        <v>128</v>
      </c>
      <c r="I2" s="16"/>
      <c r="J2" s="105" t="s">
        <v>273</v>
      </c>
    </row>
    <row r="3" spans="1:14" ht="13.9" x14ac:dyDescent="0.25">
      <c r="A3" s="37">
        <v>42646</v>
      </c>
      <c r="B3" s="38" t="s">
        <v>127</v>
      </c>
      <c r="C3" s="16"/>
      <c r="D3" s="38">
        <v>376270713997</v>
      </c>
      <c r="E3" s="73">
        <v>351215</v>
      </c>
      <c r="F3" s="16"/>
      <c r="G3" s="86">
        <v>90.85</v>
      </c>
      <c r="H3" s="31" t="s">
        <v>130</v>
      </c>
      <c r="I3" s="16"/>
      <c r="J3" s="105" t="s">
        <v>273</v>
      </c>
    </row>
    <row r="4" spans="1:14" ht="13.9" x14ac:dyDescent="0.25">
      <c r="A4" s="37">
        <v>42646</v>
      </c>
      <c r="B4" s="38" t="s">
        <v>127</v>
      </c>
      <c r="C4" s="16"/>
      <c r="D4" s="38">
        <v>376270713997</v>
      </c>
      <c r="E4" s="73">
        <v>351215</v>
      </c>
      <c r="F4" s="16"/>
      <c r="G4" s="86">
        <v>88</v>
      </c>
      <c r="H4" s="31" t="s">
        <v>131</v>
      </c>
      <c r="I4" s="16"/>
      <c r="J4" s="105" t="s">
        <v>273</v>
      </c>
    </row>
    <row r="5" spans="1:14" ht="13.9" x14ac:dyDescent="0.25">
      <c r="A5" s="37">
        <v>42646</v>
      </c>
      <c r="B5" s="38" t="s">
        <v>127</v>
      </c>
      <c r="C5" s="16"/>
      <c r="D5" s="38">
        <v>376270713997</v>
      </c>
      <c r="E5" s="73">
        <v>351215</v>
      </c>
      <c r="F5" s="16"/>
      <c r="G5" s="86">
        <v>57.24</v>
      </c>
      <c r="H5" s="31" t="s">
        <v>132</v>
      </c>
      <c r="I5" s="16"/>
      <c r="J5" s="105" t="s">
        <v>273</v>
      </c>
    </row>
    <row r="6" spans="1:14" ht="13.9" x14ac:dyDescent="0.25">
      <c r="A6" s="37">
        <v>42646</v>
      </c>
      <c r="B6" s="38" t="s">
        <v>127</v>
      </c>
      <c r="C6" s="16"/>
      <c r="D6" s="38">
        <v>376270713997</v>
      </c>
      <c r="E6" s="73">
        <v>351215</v>
      </c>
      <c r="F6" s="16"/>
      <c r="G6" s="86">
        <v>132</v>
      </c>
      <c r="H6" s="31" t="s">
        <v>133</v>
      </c>
      <c r="I6" s="16"/>
      <c r="J6" s="105" t="s">
        <v>273</v>
      </c>
    </row>
    <row r="7" spans="1:14" ht="13.9" x14ac:dyDescent="0.25">
      <c r="A7" s="37">
        <v>42647</v>
      </c>
      <c r="B7" s="38" t="s">
        <v>127</v>
      </c>
      <c r="C7" s="16"/>
      <c r="D7" s="38">
        <v>376270713997</v>
      </c>
      <c r="E7" s="73">
        <v>351215</v>
      </c>
      <c r="F7" s="16"/>
      <c r="G7" s="86">
        <v>56.71</v>
      </c>
      <c r="H7" s="31" t="s">
        <v>134</v>
      </c>
      <c r="I7" s="16"/>
      <c r="J7" s="105" t="s">
        <v>273</v>
      </c>
    </row>
    <row r="8" spans="1:14" ht="13.9" x14ac:dyDescent="0.25">
      <c r="A8" s="37">
        <v>42648</v>
      </c>
      <c r="B8" s="38" t="s">
        <v>127</v>
      </c>
      <c r="C8" s="16"/>
      <c r="D8" s="38">
        <v>376270713997</v>
      </c>
      <c r="E8" s="73">
        <v>351215</v>
      </c>
      <c r="F8" s="16"/>
      <c r="G8" s="86">
        <v>158.03</v>
      </c>
      <c r="H8" s="31" t="s">
        <v>135</v>
      </c>
      <c r="I8" s="16"/>
      <c r="J8" s="105" t="s">
        <v>273</v>
      </c>
    </row>
    <row r="9" spans="1:14" ht="13.9" x14ac:dyDescent="0.25">
      <c r="A9" s="37">
        <v>42649</v>
      </c>
      <c r="B9" s="38" t="s">
        <v>127</v>
      </c>
      <c r="C9" s="16"/>
      <c r="D9" s="38">
        <v>376270713997</v>
      </c>
      <c r="E9" s="73">
        <v>351215</v>
      </c>
      <c r="F9" s="16"/>
      <c r="G9" s="86">
        <v>91.95</v>
      </c>
      <c r="H9" s="31" t="s">
        <v>136</v>
      </c>
      <c r="I9" s="16"/>
      <c r="J9" s="105" t="s">
        <v>273</v>
      </c>
      <c r="K9" s="16"/>
      <c r="L9" s="16"/>
      <c r="M9" s="16"/>
      <c r="N9" s="16"/>
    </row>
    <row r="10" spans="1:14" ht="13.9" x14ac:dyDescent="0.25">
      <c r="A10" s="37">
        <v>42649</v>
      </c>
      <c r="B10" s="38" t="s">
        <v>127</v>
      </c>
      <c r="C10" s="16"/>
      <c r="D10" s="38">
        <v>376270713997</v>
      </c>
      <c r="E10" s="73">
        <v>351215</v>
      </c>
      <c r="F10" s="16"/>
      <c r="G10" s="86">
        <v>95.48</v>
      </c>
      <c r="H10" s="31" t="s">
        <v>137</v>
      </c>
      <c r="I10" s="16"/>
      <c r="J10" s="105" t="s">
        <v>273</v>
      </c>
      <c r="K10" s="16"/>
      <c r="L10" s="16"/>
      <c r="M10" s="16"/>
      <c r="N10" s="16"/>
    </row>
    <row r="11" spans="1:14" ht="13.9" x14ac:dyDescent="0.25">
      <c r="A11" s="37">
        <v>42650</v>
      </c>
      <c r="B11" s="38" t="s">
        <v>127</v>
      </c>
      <c r="C11" s="16"/>
      <c r="D11" s="38">
        <v>376270713997</v>
      </c>
      <c r="E11" s="73">
        <v>351215</v>
      </c>
      <c r="F11" s="16"/>
      <c r="G11" s="86">
        <v>22.95</v>
      </c>
      <c r="H11" s="31" t="s">
        <v>138</v>
      </c>
      <c r="I11" s="16"/>
      <c r="J11" s="105" t="s">
        <v>273</v>
      </c>
      <c r="K11" s="16"/>
      <c r="L11" s="16"/>
      <c r="M11" s="16"/>
      <c r="N11" s="16"/>
    </row>
    <row r="12" spans="1:14" ht="13.9" x14ac:dyDescent="0.25">
      <c r="A12" s="37">
        <v>42652</v>
      </c>
      <c r="B12" s="38" t="s">
        <v>127</v>
      </c>
      <c r="C12" s="16"/>
      <c r="D12" s="38">
        <v>376270713997</v>
      </c>
      <c r="E12" s="73">
        <v>351215</v>
      </c>
      <c r="F12" s="16"/>
      <c r="G12" s="86">
        <v>36.33</v>
      </c>
      <c r="H12" s="31" t="s">
        <v>139</v>
      </c>
      <c r="I12" s="16"/>
      <c r="J12" s="105" t="s">
        <v>273</v>
      </c>
      <c r="K12" s="16"/>
      <c r="L12" s="16"/>
      <c r="M12" s="16"/>
      <c r="N12" s="16"/>
    </row>
    <row r="13" spans="1:14" ht="13.9" x14ac:dyDescent="0.25">
      <c r="A13" s="37">
        <v>42652</v>
      </c>
      <c r="B13" s="38" t="s">
        <v>127</v>
      </c>
      <c r="C13" s="16"/>
      <c r="D13" s="38">
        <v>376270713997</v>
      </c>
      <c r="E13" s="73">
        <v>351215</v>
      </c>
      <c r="F13" s="16"/>
      <c r="G13" s="86">
        <v>106</v>
      </c>
      <c r="H13" s="31" t="s">
        <v>140</v>
      </c>
      <c r="I13" s="16"/>
      <c r="J13" s="105" t="s">
        <v>273</v>
      </c>
      <c r="K13" s="16"/>
      <c r="L13" s="16"/>
      <c r="M13" s="16"/>
      <c r="N13" s="16"/>
    </row>
    <row r="14" spans="1:14" ht="13.9" x14ac:dyDescent="0.25">
      <c r="A14" s="37">
        <v>42645</v>
      </c>
      <c r="B14" s="38" t="s">
        <v>127</v>
      </c>
      <c r="C14" s="16"/>
      <c r="D14" s="38">
        <v>376238825990</v>
      </c>
      <c r="E14" s="73">
        <v>226391</v>
      </c>
      <c r="F14" s="16"/>
      <c r="G14" s="86">
        <v>79.95</v>
      </c>
      <c r="H14" s="31" t="s">
        <v>141</v>
      </c>
      <c r="I14" s="16"/>
      <c r="J14" s="106" t="s">
        <v>274</v>
      </c>
      <c r="K14" s="16"/>
      <c r="L14" s="16"/>
      <c r="M14" s="16"/>
      <c r="N14" s="16"/>
    </row>
    <row r="15" spans="1:14" ht="13.9" x14ac:dyDescent="0.25">
      <c r="A15" s="37">
        <v>42646</v>
      </c>
      <c r="B15" s="38" t="s">
        <v>127</v>
      </c>
      <c r="C15" s="16"/>
      <c r="D15" s="38">
        <v>376238825990</v>
      </c>
      <c r="E15" s="73">
        <v>226391</v>
      </c>
      <c r="F15" s="16"/>
      <c r="G15" s="86">
        <v>20.95</v>
      </c>
      <c r="H15" s="31" t="s">
        <v>143</v>
      </c>
      <c r="I15" s="16"/>
      <c r="J15" s="106" t="s">
        <v>274</v>
      </c>
      <c r="K15" s="16"/>
      <c r="L15" s="16"/>
      <c r="M15" s="16"/>
      <c r="N15" s="16"/>
    </row>
    <row r="16" spans="1:14" ht="13.9" x14ac:dyDescent="0.25">
      <c r="A16" s="37">
        <v>42647</v>
      </c>
      <c r="B16" s="38" t="s">
        <v>127</v>
      </c>
      <c r="C16" s="16"/>
      <c r="D16" s="38">
        <v>376238825990</v>
      </c>
      <c r="E16" s="73">
        <v>226391</v>
      </c>
      <c r="F16" s="16"/>
      <c r="G16" s="86">
        <v>280.27</v>
      </c>
      <c r="H16" s="31" t="s">
        <v>144</v>
      </c>
      <c r="I16" s="16"/>
      <c r="J16" s="106" t="s">
        <v>274</v>
      </c>
      <c r="K16" s="16"/>
      <c r="L16" s="16"/>
      <c r="M16" s="16"/>
      <c r="N16" s="16"/>
    </row>
    <row r="17" spans="1:14" ht="13.9" x14ac:dyDescent="0.25">
      <c r="A17" s="37">
        <v>42647</v>
      </c>
      <c r="B17" s="38" t="s">
        <v>127</v>
      </c>
      <c r="C17" s="16"/>
      <c r="D17" s="38">
        <v>376238825990</v>
      </c>
      <c r="E17" s="73">
        <v>226391</v>
      </c>
      <c r="F17" s="16"/>
      <c r="G17" s="86">
        <v>26.950000000000003</v>
      </c>
      <c r="H17" s="31" t="s">
        <v>145</v>
      </c>
      <c r="I17" s="16"/>
      <c r="J17" s="106" t="s">
        <v>274</v>
      </c>
      <c r="K17" s="16"/>
      <c r="L17" s="16"/>
      <c r="M17" s="16"/>
      <c r="N17" s="16"/>
    </row>
    <row r="18" spans="1:14" ht="13.9" x14ac:dyDescent="0.25">
      <c r="A18" s="37">
        <v>42647</v>
      </c>
      <c r="B18" s="38" t="s">
        <v>127</v>
      </c>
      <c r="C18" s="16"/>
      <c r="D18" s="38">
        <v>376238825990</v>
      </c>
      <c r="E18" s="73">
        <v>226391</v>
      </c>
      <c r="F18" s="16"/>
      <c r="G18" s="86">
        <v>35.660000000000004</v>
      </c>
      <c r="H18" s="31" t="s">
        <v>146</v>
      </c>
      <c r="I18" s="16"/>
      <c r="J18" s="106" t="s">
        <v>274</v>
      </c>
      <c r="K18" s="16"/>
      <c r="L18" s="16"/>
      <c r="M18" s="16"/>
      <c r="N18" s="16"/>
    </row>
    <row r="19" spans="1:14" ht="13.9" x14ac:dyDescent="0.25">
      <c r="A19" s="37">
        <v>42648</v>
      </c>
      <c r="B19" s="38" t="s">
        <v>127</v>
      </c>
      <c r="C19" s="16"/>
      <c r="D19" s="38">
        <v>376238825990</v>
      </c>
      <c r="E19" s="73">
        <v>226391</v>
      </c>
      <c r="F19" s="16"/>
      <c r="G19" s="86">
        <v>48.5</v>
      </c>
      <c r="H19" s="31" t="s">
        <v>147</v>
      </c>
      <c r="I19" s="16"/>
      <c r="J19" s="106" t="s">
        <v>274</v>
      </c>
      <c r="K19" s="16"/>
      <c r="L19" s="16"/>
      <c r="M19" s="16"/>
      <c r="N19" s="16"/>
    </row>
    <row r="20" spans="1:14" ht="13.9" x14ac:dyDescent="0.25">
      <c r="A20" s="37">
        <v>42649</v>
      </c>
      <c r="B20" s="38" t="s">
        <v>127</v>
      </c>
      <c r="C20" s="16"/>
      <c r="D20" s="38">
        <v>376238825990</v>
      </c>
      <c r="E20" s="73">
        <v>226391</v>
      </c>
      <c r="F20" s="16"/>
      <c r="G20" s="86">
        <v>37.909999999999997</v>
      </c>
      <c r="H20" s="31" t="s">
        <v>148</v>
      </c>
      <c r="I20" s="16"/>
      <c r="J20" s="106" t="s">
        <v>274</v>
      </c>
      <c r="K20" s="16"/>
      <c r="L20" s="16"/>
      <c r="M20" s="16"/>
      <c r="N20" s="16"/>
    </row>
    <row r="21" spans="1:14" ht="13.9" x14ac:dyDescent="0.25">
      <c r="A21" s="37">
        <v>42646</v>
      </c>
      <c r="B21" s="38" t="s">
        <v>127</v>
      </c>
      <c r="C21" s="16"/>
      <c r="D21" s="38">
        <v>376220322998</v>
      </c>
      <c r="E21" s="73">
        <v>220501</v>
      </c>
      <c r="F21" s="16"/>
      <c r="G21" s="86">
        <v>46.699999999999996</v>
      </c>
      <c r="H21" s="31" t="s">
        <v>149</v>
      </c>
      <c r="I21" s="16"/>
      <c r="J21" s="106" t="s">
        <v>274</v>
      </c>
      <c r="K21" s="16"/>
      <c r="L21" s="16"/>
      <c r="M21" s="16"/>
      <c r="N21" s="16"/>
    </row>
    <row r="22" spans="1:14" ht="13.9" x14ac:dyDescent="0.25">
      <c r="A22" s="37">
        <v>42646</v>
      </c>
      <c r="B22" s="38" t="s">
        <v>127</v>
      </c>
      <c r="C22" s="16"/>
      <c r="D22" s="38">
        <v>376220322998</v>
      </c>
      <c r="E22" s="73">
        <v>220501</v>
      </c>
      <c r="F22" s="16"/>
      <c r="G22" s="86">
        <v>59.39</v>
      </c>
      <c r="H22" s="31" t="s">
        <v>150</v>
      </c>
      <c r="I22" s="16"/>
      <c r="J22" s="106" t="s">
        <v>274</v>
      </c>
      <c r="K22" s="16"/>
      <c r="L22" s="16"/>
      <c r="M22" s="16"/>
      <c r="N22" s="16"/>
    </row>
    <row r="23" spans="1:14" ht="13.9" x14ac:dyDescent="0.25">
      <c r="A23" s="37">
        <v>42653</v>
      </c>
      <c r="B23" s="38" t="s">
        <v>127</v>
      </c>
      <c r="C23" s="16"/>
      <c r="D23" s="38">
        <v>376270713997</v>
      </c>
      <c r="E23" s="73">
        <v>351215</v>
      </c>
      <c r="F23" s="16"/>
      <c r="G23" s="86">
        <v>19.95</v>
      </c>
      <c r="H23" s="31" t="s">
        <v>153</v>
      </c>
      <c r="I23" s="16"/>
      <c r="J23" s="105" t="s">
        <v>273</v>
      </c>
    </row>
    <row r="24" spans="1:14" ht="13.9" x14ac:dyDescent="0.25">
      <c r="A24" s="37">
        <v>42653</v>
      </c>
      <c r="B24" s="38" t="s">
        <v>127</v>
      </c>
      <c r="C24" s="16"/>
      <c r="D24" s="38">
        <v>376270713997</v>
      </c>
      <c r="E24" s="73">
        <v>351215</v>
      </c>
      <c r="F24" s="16"/>
      <c r="G24" s="86">
        <v>53</v>
      </c>
      <c r="H24" s="31" t="s">
        <v>155</v>
      </c>
      <c r="I24" s="16"/>
      <c r="J24" s="105" t="s">
        <v>273</v>
      </c>
    </row>
    <row r="25" spans="1:14" ht="13.9" x14ac:dyDescent="0.25">
      <c r="A25" s="37">
        <v>42654</v>
      </c>
      <c r="B25" s="38" t="s">
        <v>127</v>
      </c>
      <c r="C25" s="16"/>
      <c r="D25" s="38">
        <v>376270713997</v>
      </c>
      <c r="E25" s="73">
        <v>351215</v>
      </c>
      <c r="F25" s="16"/>
      <c r="G25" s="86">
        <v>132.99</v>
      </c>
      <c r="H25" s="31" t="s">
        <v>156</v>
      </c>
      <c r="I25" s="16"/>
      <c r="J25" s="105" t="s">
        <v>273</v>
      </c>
    </row>
    <row r="26" spans="1:14" ht="13.9" x14ac:dyDescent="0.25">
      <c r="A26" s="37">
        <v>42654</v>
      </c>
      <c r="B26" s="38" t="s">
        <v>127</v>
      </c>
      <c r="C26" s="16"/>
      <c r="D26" s="38">
        <v>376270713997</v>
      </c>
      <c r="E26" s="73">
        <v>351215</v>
      </c>
      <c r="F26" s="16"/>
      <c r="G26" s="86">
        <v>53</v>
      </c>
      <c r="H26" s="31" t="s">
        <v>157</v>
      </c>
      <c r="I26" s="16"/>
      <c r="J26" s="105" t="s">
        <v>273</v>
      </c>
    </row>
    <row r="27" spans="1:14" ht="13.9" x14ac:dyDescent="0.25">
      <c r="A27" s="37">
        <v>42654</v>
      </c>
      <c r="B27" s="38" t="s">
        <v>127</v>
      </c>
      <c r="C27" s="16"/>
      <c r="D27" s="38">
        <v>376270713997</v>
      </c>
      <c r="E27" s="73">
        <v>351215</v>
      </c>
      <c r="F27" s="16"/>
      <c r="G27" s="86">
        <v>195.3</v>
      </c>
      <c r="H27" s="31" t="s">
        <v>158</v>
      </c>
      <c r="I27" s="16"/>
      <c r="J27" s="105" t="s">
        <v>273</v>
      </c>
    </row>
    <row r="28" spans="1:14" ht="13.9" x14ac:dyDescent="0.25">
      <c r="A28" s="37">
        <v>42655</v>
      </c>
      <c r="B28" s="38" t="s">
        <v>127</v>
      </c>
      <c r="C28" s="16"/>
      <c r="D28" s="38">
        <v>376270713997</v>
      </c>
      <c r="E28" s="73">
        <v>351215</v>
      </c>
      <c r="F28" s="16"/>
      <c r="G28" s="86">
        <v>112</v>
      </c>
      <c r="H28" s="31" t="s">
        <v>159</v>
      </c>
      <c r="I28" s="16"/>
      <c r="J28" s="105" t="s">
        <v>273</v>
      </c>
    </row>
    <row r="29" spans="1:14" ht="13.9" x14ac:dyDescent="0.25">
      <c r="A29" s="37">
        <v>42656</v>
      </c>
      <c r="B29" s="38" t="s">
        <v>127</v>
      </c>
      <c r="C29" s="16"/>
      <c r="D29" s="38">
        <v>376270713997</v>
      </c>
      <c r="E29" s="73">
        <v>351215</v>
      </c>
      <c r="F29" s="16"/>
      <c r="G29" s="86">
        <v>63</v>
      </c>
      <c r="H29" s="31" t="s">
        <v>160</v>
      </c>
      <c r="I29" s="16"/>
      <c r="J29" s="105" t="s">
        <v>273</v>
      </c>
    </row>
    <row r="30" spans="1:14" ht="13.9" x14ac:dyDescent="0.25">
      <c r="A30" s="37">
        <v>42656</v>
      </c>
      <c r="B30" s="38" t="s">
        <v>127</v>
      </c>
      <c r="C30" s="16"/>
      <c r="D30" s="38">
        <v>376270713997</v>
      </c>
      <c r="E30" s="73">
        <v>351215</v>
      </c>
      <c r="F30" s="16"/>
      <c r="G30" s="86">
        <v>51.04</v>
      </c>
      <c r="H30" s="31" t="s">
        <v>161</v>
      </c>
      <c r="I30" s="16"/>
      <c r="J30" s="105" t="s">
        <v>273</v>
      </c>
    </row>
    <row r="31" spans="1:14" ht="13.9" x14ac:dyDescent="0.25">
      <c r="A31" s="37">
        <v>42657</v>
      </c>
      <c r="B31" s="38" t="s">
        <v>127</v>
      </c>
      <c r="C31" s="16"/>
      <c r="D31" s="38">
        <v>376270713997</v>
      </c>
      <c r="E31" s="73">
        <v>351215</v>
      </c>
      <c r="F31" s="16"/>
      <c r="G31" s="86">
        <v>218.47</v>
      </c>
      <c r="H31" s="31" t="s">
        <v>162</v>
      </c>
      <c r="I31" s="16"/>
      <c r="J31" s="105" t="s">
        <v>273</v>
      </c>
    </row>
    <row r="32" spans="1:14" ht="13.9" x14ac:dyDescent="0.25">
      <c r="A32" s="37">
        <v>42657</v>
      </c>
      <c r="B32" s="38" t="s">
        <v>127</v>
      </c>
      <c r="C32" s="16"/>
      <c r="D32" s="38">
        <v>376270713997</v>
      </c>
      <c r="E32" s="73">
        <v>351215</v>
      </c>
      <c r="F32" s="16"/>
      <c r="G32" s="86">
        <v>148.29</v>
      </c>
      <c r="H32" s="31" t="s">
        <v>163</v>
      </c>
      <c r="I32" s="16"/>
      <c r="J32" s="105" t="s">
        <v>273</v>
      </c>
    </row>
    <row r="33" spans="1:13" ht="13.9" x14ac:dyDescent="0.25">
      <c r="A33" s="37">
        <v>42657</v>
      </c>
      <c r="B33" s="38" t="s">
        <v>127</v>
      </c>
      <c r="C33" s="16"/>
      <c r="D33" s="38">
        <v>376270713997</v>
      </c>
      <c r="E33" s="73">
        <v>351215</v>
      </c>
      <c r="F33" s="16"/>
      <c r="G33" s="86">
        <v>88</v>
      </c>
      <c r="H33" s="31" t="s">
        <v>164</v>
      </c>
      <c r="I33" s="16"/>
      <c r="J33" s="105" t="s">
        <v>273</v>
      </c>
    </row>
    <row r="34" spans="1:13" ht="13.9" x14ac:dyDescent="0.25">
      <c r="A34" s="37">
        <v>42655</v>
      </c>
      <c r="B34" s="38" t="s">
        <v>127</v>
      </c>
      <c r="C34" s="16"/>
      <c r="D34" s="38">
        <v>376272133996</v>
      </c>
      <c r="E34" s="73">
        <v>351621</v>
      </c>
      <c r="F34" s="16"/>
      <c r="G34" s="86">
        <v>63.949999999999996</v>
      </c>
      <c r="H34" s="31" t="s">
        <v>165</v>
      </c>
      <c r="I34" s="16"/>
      <c r="J34" s="107" t="s">
        <v>166</v>
      </c>
    </row>
    <row r="35" spans="1:13" ht="13.9" x14ac:dyDescent="0.25">
      <c r="A35" s="37">
        <v>42655</v>
      </c>
      <c r="B35" s="38" t="s">
        <v>127</v>
      </c>
      <c r="C35" s="16"/>
      <c r="D35" s="38">
        <v>376272133996</v>
      </c>
      <c r="E35" s="73">
        <v>351621</v>
      </c>
      <c r="F35" s="16"/>
      <c r="G35" s="86">
        <v>30.9</v>
      </c>
      <c r="H35" s="31" t="s">
        <v>167</v>
      </c>
      <c r="I35" s="16"/>
      <c r="J35" s="107" t="s">
        <v>166</v>
      </c>
    </row>
    <row r="36" spans="1:13" ht="13.9" x14ac:dyDescent="0.25">
      <c r="A36" s="37">
        <v>42655</v>
      </c>
      <c r="B36" s="38" t="s">
        <v>127</v>
      </c>
      <c r="C36" s="16"/>
      <c r="D36" s="38">
        <v>376272133996</v>
      </c>
      <c r="E36" s="73">
        <v>351621</v>
      </c>
      <c r="F36" s="16"/>
      <c r="G36" s="86">
        <v>27.950000000000003</v>
      </c>
      <c r="H36" s="31" t="s">
        <v>168</v>
      </c>
      <c r="I36" s="16"/>
      <c r="J36" s="107" t="s">
        <v>166</v>
      </c>
    </row>
    <row r="37" spans="1:13" ht="13.9" x14ac:dyDescent="0.25">
      <c r="A37" s="37">
        <v>42655</v>
      </c>
      <c r="B37" s="38" t="s">
        <v>127</v>
      </c>
      <c r="C37" s="16"/>
      <c r="D37" s="38">
        <v>376272133996</v>
      </c>
      <c r="E37" s="73">
        <v>351621</v>
      </c>
      <c r="F37" s="16"/>
      <c r="G37" s="86">
        <v>50.96</v>
      </c>
      <c r="H37" s="31" t="s">
        <v>169</v>
      </c>
      <c r="I37" s="16"/>
      <c r="J37" s="107" t="s">
        <v>166</v>
      </c>
    </row>
    <row r="38" spans="1:13" ht="13.9" x14ac:dyDescent="0.25">
      <c r="A38" s="37">
        <v>42655</v>
      </c>
      <c r="B38" s="38" t="s">
        <v>127</v>
      </c>
      <c r="C38" s="16"/>
      <c r="D38" s="38">
        <v>376272133996</v>
      </c>
      <c r="E38" s="73">
        <v>351621</v>
      </c>
      <c r="F38" s="16"/>
      <c r="G38" s="86">
        <v>55.95</v>
      </c>
      <c r="H38" s="31" t="s">
        <v>170</v>
      </c>
      <c r="I38" s="16"/>
      <c r="J38" s="107" t="s">
        <v>166</v>
      </c>
    </row>
    <row r="39" spans="1:13" ht="13.9" x14ac:dyDescent="0.25">
      <c r="A39" s="37">
        <v>42655</v>
      </c>
      <c r="B39" s="38" t="s">
        <v>127</v>
      </c>
      <c r="C39" s="16"/>
      <c r="D39" s="38">
        <v>376272133996</v>
      </c>
      <c r="E39" s="73">
        <v>351621</v>
      </c>
      <c r="F39" s="16"/>
      <c r="G39" s="86">
        <v>36.950000000000003</v>
      </c>
      <c r="H39" s="31" t="s">
        <v>171</v>
      </c>
      <c r="I39" s="16"/>
      <c r="J39" s="107" t="s">
        <v>166</v>
      </c>
      <c r="K39" s="16"/>
      <c r="L39" s="16"/>
      <c r="M39" s="16"/>
    </row>
    <row r="40" spans="1:13" ht="13.9" x14ac:dyDescent="0.25">
      <c r="A40" s="37">
        <v>42655</v>
      </c>
      <c r="B40" s="38" t="s">
        <v>127</v>
      </c>
      <c r="C40" s="16"/>
      <c r="D40" s="38">
        <v>376272133996</v>
      </c>
      <c r="E40" s="73">
        <v>351621</v>
      </c>
      <c r="F40" s="16"/>
      <c r="G40" s="86">
        <v>104.95</v>
      </c>
      <c r="H40" s="31" t="s">
        <v>172</v>
      </c>
      <c r="I40" s="16"/>
      <c r="J40" s="107" t="s">
        <v>166</v>
      </c>
      <c r="K40" s="16"/>
      <c r="L40" s="16"/>
      <c r="M40" s="16"/>
    </row>
    <row r="41" spans="1:13" ht="13.9" x14ac:dyDescent="0.25">
      <c r="A41" s="37">
        <v>42653</v>
      </c>
      <c r="B41" s="38" t="s">
        <v>127</v>
      </c>
      <c r="C41" s="16"/>
      <c r="D41" s="38">
        <v>376220322998</v>
      </c>
      <c r="E41" s="73">
        <v>220501</v>
      </c>
      <c r="F41" s="16"/>
      <c r="G41" s="86">
        <v>42.4</v>
      </c>
      <c r="H41" s="31" t="s">
        <v>178</v>
      </c>
      <c r="I41" s="16"/>
      <c r="J41" s="106" t="s">
        <v>274</v>
      </c>
      <c r="K41" s="16"/>
      <c r="L41" s="16"/>
      <c r="M41" s="16"/>
    </row>
    <row r="42" spans="1:13" ht="13.9" x14ac:dyDescent="0.25">
      <c r="A42" s="37">
        <v>42653</v>
      </c>
      <c r="B42" s="38" t="s">
        <v>127</v>
      </c>
      <c r="C42" s="16"/>
      <c r="D42" s="38">
        <v>376238825990</v>
      </c>
      <c r="E42" s="73">
        <v>201228</v>
      </c>
      <c r="F42" s="16"/>
      <c r="G42" s="86">
        <v>19.95</v>
      </c>
      <c r="H42" s="31" t="s">
        <v>180</v>
      </c>
      <c r="I42" s="16"/>
      <c r="J42" s="106" t="s">
        <v>274</v>
      </c>
      <c r="K42" s="16"/>
      <c r="L42" s="16"/>
      <c r="M42" s="16"/>
    </row>
    <row r="43" spans="1:13" ht="13.9" x14ac:dyDescent="0.25">
      <c r="A43" s="37">
        <v>42658</v>
      </c>
      <c r="B43" s="38" t="s">
        <v>127</v>
      </c>
      <c r="C43" s="16"/>
      <c r="D43" s="38" t="s">
        <v>181</v>
      </c>
      <c r="E43" s="73">
        <v>351215</v>
      </c>
      <c r="F43" s="16"/>
      <c r="G43" s="87">
        <v>230</v>
      </c>
      <c r="H43" s="5">
        <v>2433090</v>
      </c>
      <c r="I43" s="16"/>
      <c r="J43" s="105" t="s">
        <v>273</v>
      </c>
      <c r="K43" s="39"/>
      <c r="L43" s="39"/>
      <c r="M43" s="39"/>
    </row>
    <row r="44" spans="1:13" ht="13.9" x14ac:dyDescent="0.25">
      <c r="A44" s="37">
        <v>42660</v>
      </c>
      <c r="B44" s="38" t="s">
        <v>127</v>
      </c>
      <c r="C44" s="16"/>
      <c r="D44" s="38" t="s">
        <v>181</v>
      </c>
      <c r="E44" s="73">
        <v>351215</v>
      </c>
      <c r="F44" s="16"/>
      <c r="G44" s="87">
        <v>67</v>
      </c>
      <c r="H44" s="5">
        <v>2433801</v>
      </c>
      <c r="I44" s="16"/>
      <c r="J44" s="105" t="s">
        <v>273</v>
      </c>
      <c r="K44" s="16"/>
      <c r="L44" s="16"/>
      <c r="M44" s="16"/>
    </row>
    <row r="45" spans="1:13" ht="13.9" x14ac:dyDescent="0.25">
      <c r="A45" s="37">
        <v>42661</v>
      </c>
      <c r="B45" s="38" t="s">
        <v>127</v>
      </c>
      <c r="C45" s="16"/>
      <c r="D45" s="38" t="s">
        <v>181</v>
      </c>
      <c r="E45" s="73">
        <v>351215</v>
      </c>
      <c r="F45" s="16"/>
      <c r="G45" s="87">
        <v>194.4</v>
      </c>
      <c r="H45" s="5">
        <v>2441630</v>
      </c>
      <c r="I45" s="16"/>
      <c r="J45" s="105" t="s">
        <v>273</v>
      </c>
      <c r="K45" s="16"/>
      <c r="L45" s="16"/>
      <c r="M45" s="16"/>
    </row>
    <row r="46" spans="1:13" ht="13.9" x14ac:dyDescent="0.25">
      <c r="A46" s="37">
        <v>42661</v>
      </c>
      <c r="B46" s="38" t="s">
        <v>127</v>
      </c>
      <c r="C46" s="16"/>
      <c r="D46" s="38" t="s">
        <v>181</v>
      </c>
      <c r="E46" s="73">
        <v>351215</v>
      </c>
      <c r="F46" s="16"/>
      <c r="G46" s="87">
        <v>122</v>
      </c>
      <c r="H46" s="5">
        <v>2437532</v>
      </c>
      <c r="I46" s="16"/>
      <c r="J46" s="105" t="s">
        <v>273</v>
      </c>
      <c r="K46" s="16"/>
      <c r="L46" s="16"/>
      <c r="M46" s="16"/>
    </row>
    <row r="47" spans="1:13" ht="13.9" x14ac:dyDescent="0.25">
      <c r="A47" s="37">
        <v>42661</v>
      </c>
      <c r="B47" s="38" t="s">
        <v>127</v>
      </c>
      <c r="C47" s="16"/>
      <c r="D47" s="38" t="s">
        <v>181</v>
      </c>
      <c r="E47" s="73">
        <v>351215</v>
      </c>
      <c r="F47" s="16"/>
      <c r="G47" s="87">
        <v>92.38</v>
      </c>
      <c r="H47" s="5">
        <v>2442248</v>
      </c>
      <c r="I47" s="16"/>
      <c r="J47" s="105" t="s">
        <v>273</v>
      </c>
      <c r="K47" s="16"/>
      <c r="L47" s="16"/>
      <c r="M47" s="16"/>
    </row>
    <row r="48" spans="1:13" ht="13.9" x14ac:dyDescent="0.25">
      <c r="A48" s="37">
        <v>42661</v>
      </c>
      <c r="B48" s="38" t="s">
        <v>127</v>
      </c>
      <c r="C48" s="16"/>
      <c r="D48" s="38" t="s">
        <v>181</v>
      </c>
      <c r="E48" s="73">
        <v>351215</v>
      </c>
      <c r="F48" s="16"/>
      <c r="G48" s="87">
        <v>125.28</v>
      </c>
      <c r="H48" s="5">
        <v>2437782</v>
      </c>
      <c r="I48" s="16"/>
      <c r="J48" s="105" t="s">
        <v>273</v>
      </c>
      <c r="K48" s="16"/>
      <c r="L48" s="16"/>
      <c r="M48" s="16"/>
    </row>
    <row r="49" spans="1:13" ht="13.9" x14ac:dyDescent="0.25">
      <c r="A49" s="37">
        <v>42661</v>
      </c>
      <c r="B49" s="38" t="s">
        <v>127</v>
      </c>
      <c r="C49" s="16"/>
      <c r="D49" s="38" t="s">
        <v>181</v>
      </c>
      <c r="E49" s="73">
        <v>351215</v>
      </c>
      <c r="F49" s="16"/>
      <c r="G49" s="87">
        <v>114.18</v>
      </c>
      <c r="H49" s="5">
        <v>2439618</v>
      </c>
      <c r="I49" s="16"/>
      <c r="J49" s="105" t="s">
        <v>273</v>
      </c>
      <c r="K49" s="16"/>
      <c r="L49" s="16"/>
      <c r="M49" s="16"/>
    </row>
    <row r="50" spans="1:13" ht="13.9" x14ac:dyDescent="0.25">
      <c r="A50" s="37">
        <v>42662</v>
      </c>
      <c r="B50" s="38" t="s">
        <v>127</v>
      </c>
      <c r="C50" s="16"/>
      <c r="D50" s="38" t="s">
        <v>181</v>
      </c>
      <c r="E50" s="73">
        <v>351215</v>
      </c>
      <c r="F50" s="16"/>
      <c r="G50" s="87">
        <v>94.16</v>
      </c>
      <c r="H50" s="5">
        <v>2444695</v>
      </c>
      <c r="I50" s="16"/>
      <c r="J50" s="105" t="s">
        <v>273</v>
      </c>
      <c r="K50" s="16"/>
      <c r="L50" s="16"/>
    </row>
    <row r="51" spans="1:13" ht="13.9" x14ac:dyDescent="0.25">
      <c r="A51" s="37">
        <v>42662</v>
      </c>
      <c r="B51" s="38" t="s">
        <v>127</v>
      </c>
      <c r="C51" s="16"/>
      <c r="D51" s="38" t="s">
        <v>181</v>
      </c>
      <c r="E51" s="73">
        <v>351215</v>
      </c>
      <c r="F51" s="16"/>
      <c r="G51" s="87">
        <v>126.9</v>
      </c>
      <c r="H51" s="5">
        <v>2442257</v>
      </c>
      <c r="I51" s="16"/>
      <c r="J51" s="105" t="s">
        <v>273</v>
      </c>
      <c r="K51" s="16"/>
      <c r="L51" s="16"/>
    </row>
    <row r="52" spans="1:13" ht="13.9" x14ac:dyDescent="0.25">
      <c r="A52" s="37">
        <v>42663</v>
      </c>
      <c r="B52" s="38" t="s">
        <v>127</v>
      </c>
      <c r="C52" s="16"/>
      <c r="D52" s="38" t="s">
        <v>181</v>
      </c>
      <c r="E52" s="73">
        <v>351215</v>
      </c>
      <c r="F52" s="16"/>
      <c r="G52" s="87">
        <v>158.4</v>
      </c>
      <c r="H52" s="5">
        <v>2446297</v>
      </c>
      <c r="I52" s="16"/>
      <c r="J52" s="105" t="s">
        <v>273</v>
      </c>
      <c r="K52" s="16"/>
      <c r="L52" s="16"/>
    </row>
    <row r="53" spans="1:13" ht="13.9" x14ac:dyDescent="0.25">
      <c r="A53" s="37">
        <v>42663</v>
      </c>
      <c r="B53" s="38" t="s">
        <v>127</v>
      </c>
      <c r="C53" s="16"/>
      <c r="D53" s="38" t="s">
        <v>181</v>
      </c>
      <c r="E53" s="73">
        <v>351215</v>
      </c>
      <c r="F53" s="16"/>
      <c r="G53" s="87">
        <v>173.71</v>
      </c>
      <c r="H53" s="5">
        <v>2447692</v>
      </c>
      <c r="I53" s="16"/>
      <c r="J53" s="105" t="s">
        <v>273</v>
      </c>
      <c r="K53" s="16"/>
      <c r="L53" s="16"/>
    </row>
    <row r="54" spans="1:13" ht="13.9" x14ac:dyDescent="0.25">
      <c r="A54" s="37">
        <v>42664</v>
      </c>
      <c r="B54" s="38" t="s">
        <v>127</v>
      </c>
      <c r="C54" s="16"/>
      <c r="D54" s="38" t="s">
        <v>181</v>
      </c>
      <c r="E54" s="73">
        <v>351215</v>
      </c>
      <c r="F54" s="16"/>
      <c r="G54" s="87">
        <v>112.02</v>
      </c>
      <c r="H54" s="5">
        <v>2452714</v>
      </c>
      <c r="I54" s="16"/>
      <c r="J54" s="105" t="s">
        <v>273</v>
      </c>
      <c r="K54" s="16"/>
      <c r="L54" s="16"/>
    </row>
    <row r="55" spans="1:13" ht="13.9" x14ac:dyDescent="0.25">
      <c r="A55" s="37">
        <v>42664</v>
      </c>
      <c r="B55" s="38" t="s">
        <v>127</v>
      </c>
      <c r="C55" s="16"/>
      <c r="D55" s="38" t="s">
        <v>181</v>
      </c>
      <c r="E55" s="73">
        <v>351215</v>
      </c>
      <c r="F55" s="16"/>
      <c r="G55" s="87">
        <v>118</v>
      </c>
      <c r="H55" s="5">
        <v>2449583</v>
      </c>
      <c r="I55" s="16"/>
      <c r="J55" s="105" t="s">
        <v>273</v>
      </c>
      <c r="K55" s="16"/>
      <c r="L55" s="16"/>
    </row>
    <row r="56" spans="1:13" ht="13.9" x14ac:dyDescent="0.25">
      <c r="A56" s="37">
        <v>42659</v>
      </c>
      <c r="B56" s="38" t="s">
        <v>127</v>
      </c>
      <c r="C56" s="16"/>
      <c r="D56" s="38" t="s">
        <v>183</v>
      </c>
      <c r="E56" s="73">
        <v>2433224</v>
      </c>
      <c r="F56" s="16"/>
      <c r="G56" s="87">
        <v>99.77000000000001</v>
      </c>
      <c r="H56" s="5">
        <v>2433224</v>
      </c>
      <c r="I56" s="16"/>
      <c r="J56" s="106" t="s">
        <v>275</v>
      </c>
      <c r="K56" s="16"/>
      <c r="L56" s="16"/>
    </row>
    <row r="57" spans="1:13" ht="13.9" x14ac:dyDescent="0.25">
      <c r="A57" s="37">
        <v>42661</v>
      </c>
      <c r="B57" s="38" t="s">
        <v>127</v>
      </c>
      <c r="C57" s="16"/>
      <c r="D57" s="38" t="s">
        <v>183</v>
      </c>
      <c r="E57" s="73">
        <v>2433224</v>
      </c>
      <c r="F57" s="16"/>
      <c r="G57" s="87">
        <v>151.91</v>
      </c>
      <c r="H57" s="5">
        <v>2433379</v>
      </c>
      <c r="I57" s="16"/>
      <c r="J57" s="106" t="s">
        <v>275</v>
      </c>
      <c r="K57" s="16"/>
      <c r="L57" s="16"/>
    </row>
    <row r="58" spans="1:13" ht="13.9" x14ac:dyDescent="0.25">
      <c r="A58" s="37">
        <v>42664</v>
      </c>
      <c r="B58" s="38" t="s">
        <v>127</v>
      </c>
      <c r="C58" s="16"/>
      <c r="D58" s="38" t="s">
        <v>183</v>
      </c>
      <c r="E58" s="73">
        <v>2433224</v>
      </c>
      <c r="F58" s="16"/>
      <c r="G58" s="87">
        <v>177.32999999999998</v>
      </c>
      <c r="H58" s="5">
        <v>2445535</v>
      </c>
      <c r="I58" s="16"/>
      <c r="J58" s="106" t="s">
        <v>275</v>
      </c>
      <c r="K58" s="16"/>
      <c r="L58" s="16"/>
    </row>
    <row r="59" spans="1:13" ht="13.9" x14ac:dyDescent="0.25">
      <c r="A59" s="37">
        <v>42664</v>
      </c>
      <c r="B59" s="38" t="s">
        <v>127</v>
      </c>
      <c r="C59" s="16"/>
      <c r="D59" s="38" t="s">
        <v>183</v>
      </c>
      <c r="E59" s="73">
        <v>2433224</v>
      </c>
      <c r="F59" s="16"/>
      <c r="G59" s="87">
        <v>95.57</v>
      </c>
      <c r="H59" s="5">
        <v>2448712</v>
      </c>
      <c r="I59" s="16"/>
      <c r="J59" s="106" t="s">
        <v>275</v>
      </c>
      <c r="K59" s="16"/>
      <c r="L59" s="16"/>
    </row>
    <row r="60" spans="1:13" ht="13.9" x14ac:dyDescent="0.25">
      <c r="A60" s="37">
        <v>42661</v>
      </c>
      <c r="B60" s="38" t="s">
        <v>127</v>
      </c>
      <c r="C60" s="16"/>
      <c r="D60" s="38" t="s">
        <v>184</v>
      </c>
      <c r="E60" s="73">
        <v>226274</v>
      </c>
      <c r="F60" s="16"/>
      <c r="G60" s="87">
        <v>96.69</v>
      </c>
      <c r="H60" s="5">
        <v>2442461</v>
      </c>
      <c r="I60" s="16"/>
      <c r="J60" s="106" t="s">
        <v>275</v>
      </c>
      <c r="K60" s="16"/>
      <c r="L60" s="16"/>
    </row>
    <row r="61" spans="1:13" ht="13.9" x14ac:dyDescent="0.25">
      <c r="A61" s="37">
        <v>42669</v>
      </c>
      <c r="B61" s="38" t="s">
        <v>127</v>
      </c>
      <c r="C61" s="16"/>
      <c r="D61" s="38" t="s">
        <v>183</v>
      </c>
      <c r="E61" s="73">
        <v>220501</v>
      </c>
      <c r="F61" s="16"/>
      <c r="G61" s="87">
        <v>59.39</v>
      </c>
      <c r="H61" s="5">
        <v>2463895</v>
      </c>
      <c r="I61" s="16"/>
      <c r="J61" s="106" t="s">
        <v>275</v>
      </c>
      <c r="K61" s="39"/>
      <c r="L61" s="39"/>
    </row>
    <row r="62" spans="1:13" ht="13.9" x14ac:dyDescent="0.25">
      <c r="A62" s="37">
        <v>42667</v>
      </c>
      <c r="B62" s="38" t="s">
        <v>127</v>
      </c>
      <c r="C62" s="16"/>
      <c r="D62" s="38" t="s">
        <v>181</v>
      </c>
      <c r="E62" s="73">
        <v>351215</v>
      </c>
      <c r="F62" s="16"/>
      <c r="G62" s="87">
        <v>321.13</v>
      </c>
      <c r="H62" s="5">
        <v>2454695</v>
      </c>
      <c r="I62" s="16"/>
      <c r="J62" s="105" t="s">
        <v>273</v>
      </c>
      <c r="K62" s="16"/>
      <c r="L62" s="16"/>
    </row>
    <row r="63" spans="1:13" ht="13.9" x14ac:dyDescent="0.25">
      <c r="A63" s="37">
        <v>42668</v>
      </c>
      <c r="B63" s="38" t="s">
        <v>127</v>
      </c>
      <c r="C63" s="16"/>
      <c r="D63" s="38" t="s">
        <v>181</v>
      </c>
      <c r="E63" s="73">
        <v>351215</v>
      </c>
      <c r="F63" s="16"/>
      <c r="G63" s="87">
        <v>224.69</v>
      </c>
      <c r="H63" s="5">
        <v>2456121</v>
      </c>
      <c r="I63" s="16"/>
      <c r="J63" s="105" t="s">
        <v>273</v>
      </c>
      <c r="K63" s="16"/>
      <c r="L63" s="16"/>
    </row>
    <row r="64" spans="1:13" ht="13.9" x14ac:dyDescent="0.25">
      <c r="A64" s="37">
        <v>42668</v>
      </c>
      <c r="B64" s="38" t="s">
        <v>127</v>
      </c>
      <c r="C64" s="16"/>
      <c r="D64" s="38" t="s">
        <v>181</v>
      </c>
      <c r="E64" s="73">
        <v>351215</v>
      </c>
      <c r="F64" s="16"/>
      <c r="G64" s="87">
        <v>51</v>
      </c>
      <c r="H64" s="5">
        <v>2459597</v>
      </c>
      <c r="I64" s="16"/>
      <c r="J64" s="105" t="s">
        <v>273</v>
      </c>
      <c r="K64" s="16"/>
      <c r="L64" s="16"/>
    </row>
    <row r="65" spans="1:12" ht="13.9" x14ac:dyDescent="0.25">
      <c r="A65" s="37">
        <v>42669</v>
      </c>
      <c r="B65" s="38" t="s">
        <v>127</v>
      </c>
      <c r="C65" s="16"/>
      <c r="D65" s="38" t="s">
        <v>181</v>
      </c>
      <c r="E65" s="73">
        <v>351215</v>
      </c>
      <c r="F65" s="16"/>
      <c r="G65" s="87">
        <v>54</v>
      </c>
      <c r="H65" s="5">
        <v>2464964</v>
      </c>
      <c r="I65" s="16"/>
      <c r="J65" s="105" t="s">
        <v>273</v>
      </c>
      <c r="K65" s="16"/>
      <c r="L65" s="16"/>
    </row>
    <row r="66" spans="1:12" ht="13.9" x14ac:dyDescent="0.25">
      <c r="A66" s="37">
        <v>42669</v>
      </c>
      <c r="B66" s="38" t="s">
        <v>127</v>
      </c>
      <c r="C66" s="16"/>
      <c r="D66" s="38" t="s">
        <v>181</v>
      </c>
      <c r="E66" s="73">
        <v>351215</v>
      </c>
      <c r="F66" s="16"/>
      <c r="G66" s="87">
        <v>70.680000000000007</v>
      </c>
      <c r="H66" s="5">
        <v>2459990</v>
      </c>
      <c r="I66" s="16"/>
      <c r="J66" s="105" t="s">
        <v>273</v>
      </c>
      <c r="K66" s="16"/>
      <c r="L66" s="16"/>
    </row>
    <row r="67" spans="1:12" ht="13.9" x14ac:dyDescent="0.25">
      <c r="A67" s="37">
        <v>42670</v>
      </c>
      <c r="B67" s="38" t="s">
        <v>127</v>
      </c>
      <c r="C67" s="16"/>
      <c r="D67" s="38" t="s">
        <v>181</v>
      </c>
      <c r="E67" s="73">
        <v>351215</v>
      </c>
      <c r="F67" s="16"/>
      <c r="G67" s="87">
        <v>169.73</v>
      </c>
      <c r="H67" s="5">
        <v>2466431</v>
      </c>
      <c r="I67" s="16"/>
      <c r="J67" s="105" t="s">
        <v>273</v>
      </c>
      <c r="K67" s="16"/>
      <c r="L67" s="16"/>
    </row>
    <row r="68" spans="1:12" ht="13.9" x14ac:dyDescent="0.25">
      <c r="A68" s="37">
        <v>42671</v>
      </c>
      <c r="B68" s="38" t="s">
        <v>127</v>
      </c>
      <c r="C68" s="16"/>
      <c r="D68" s="38" t="s">
        <v>181</v>
      </c>
      <c r="E68" s="73">
        <v>351215</v>
      </c>
      <c r="F68" s="16"/>
      <c r="G68" s="87">
        <v>58.87</v>
      </c>
      <c r="H68" s="5">
        <v>2468576</v>
      </c>
      <c r="I68" s="16"/>
      <c r="J68" s="105" t="s">
        <v>273</v>
      </c>
      <c r="K68" s="16"/>
      <c r="L68" s="16"/>
    </row>
    <row r="69" spans="1:12" ht="13.9" x14ac:dyDescent="0.25">
      <c r="A69" s="37">
        <v>42671</v>
      </c>
      <c r="B69" s="38" t="s">
        <v>127</v>
      </c>
      <c r="C69" s="16"/>
      <c r="D69" s="38" t="s">
        <v>181</v>
      </c>
      <c r="E69" s="73">
        <v>351215</v>
      </c>
      <c r="F69" s="16"/>
      <c r="G69" s="87">
        <v>70.2</v>
      </c>
      <c r="H69" s="5">
        <v>2472086</v>
      </c>
      <c r="I69" s="16"/>
      <c r="J69" s="105" t="s">
        <v>273</v>
      </c>
      <c r="K69" s="16"/>
      <c r="L69" s="16"/>
    </row>
    <row r="70" spans="1:12" ht="13.9" x14ac:dyDescent="0.25">
      <c r="A70" s="37">
        <v>42671</v>
      </c>
      <c r="B70" s="38" t="s">
        <v>127</v>
      </c>
      <c r="C70" s="16"/>
      <c r="D70" s="38" t="s">
        <v>181</v>
      </c>
      <c r="E70" s="73">
        <v>351215</v>
      </c>
      <c r="F70" s="16"/>
      <c r="G70" s="87">
        <v>185.81</v>
      </c>
      <c r="H70" s="5">
        <v>2469868</v>
      </c>
      <c r="I70" s="16"/>
      <c r="J70" s="105" t="s">
        <v>273</v>
      </c>
      <c r="K70" s="16"/>
      <c r="L70" s="16"/>
    </row>
    <row r="71" spans="1:12" ht="13.9" x14ac:dyDescent="0.25">
      <c r="A71" s="37">
        <v>42681</v>
      </c>
      <c r="B71" s="38" t="s">
        <v>127</v>
      </c>
      <c r="C71" s="16"/>
      <c r="D71" s="66" t="s">
        <v>181</v>
      </c>
      <c r="E71" s="73">
        <v>351215</v>
      </c>
      <c r="F71" s="16"/>
      <c r="G71" s="87">
        <v>95.48</v>
      </c>
      <c r="H71" s="5">
        <v>2498972</v>
      </c>
      <c r="I71" s="16"/>
      <c r="J71" s="105" t="s">
        <v>273</v>
      </c>
      <c r="K71" s="39"/>
      <c r="L71" s="39"/>
    </row>
    <row r="72" spans="1:12" ht="13.9" x14ac:dyDescent="0.25">
      <c r="A72" s="37">
        <v>42681</v>
      </c>
      <c r="B72" s="38" t="s">
        <v>127</v>
      </c>
      <c r="C72" s="16"/>
      <c r="D72" s="66" t="s">
        <v>181</v>
      </c>
      <c r="E72" s="73">
        <v>351215</v>
      </c>
      <c r="F72" s="16"/>
      <c r="G72" s="86">
        <v>143.72</v>
      </c>
      <c r="H72" s="31" t="s">
        <v>189</v>
      </c>
      <c r="I72" s="16"/>
      <c r="J72" s="105" t="s">
        <v>273</v>
      </c>
      <c r="K72" s="16"/>
      <c r="L72" s="16"/>
    </row>
    <row r="73" spans="1:12" ht="13.9" x14ac:dyDescent="0.25">
      <c r="A73" s="37">
        <v>42681</v>
      </c>
      <c r="B73" s="38" t="s">
        <v>127</v>
      </c>
      <c r="C73" s="16"/>
      <c r="D73" s="66" t="s">
        <v>181</v>
      </c>
      <c r="E73" s="73">
        <v>351215</v>
      </c>
      <c r="F73" s="16"/>
      <c r="G73" s="88">
        <v>106</v>
      </c>
      <c r="H73" s="81">
        <v>2498587</v>
      </c>
      <c r="I73" s="16"/>
      <c r="J73" s="105" t="s">
        <v>273</v>
      </c>
      <c r="K73" s="16"/>
      <c r="L73" s="16"/>
    </row>
    <row r="74" spans="1:12" ht="13.9" x14ac:dyDescent="0.25">
      <c r="A74" s="37">
        <v>42682</v>
      </c>
      <c r="B74" s="38" t="s">
        <v>127</v>
      </c>
      <c r="C74" s="16"/>
      <c r="D74" s="66" t="s">
        <v>181</v>
      </c>
      <c r="E74" s="73">
        <v>351215</v>
      </c>
      <c r="F74" s="16"/>
      <c r="G74" s="88">
        <v>361.9</v>
      </c>
      <c r="H74" s="81">
        <v>2505646</v>
      </c>
      <c r="I74" s="16"/>
      <c r="J74" s="105" t="s">
        <v>273</v>
      </c>
      <c r="K74" s="16"/>
      <c r="L74" s="16"/>
    </row>
    <row r="75" spans="1:12" ht="13.9" x14ac:dyDescent="0.25">
      <c r="A75" s="37">
        <v>42682</v>
      </c>
      <c r="B75" s="38" t="s">
        <v>127</v>
      </c>
      <c r="C75" s="16"/>
      <c r="D75" s="66" t="s">
        <v>181</v>
      </c>
      <c r="E75" s="73">
        <v>351215</v>
      </c>
      <c r="F75" s="16"/>
      <c r="G75" s="88">
        <v>96</v>
      </c>
      <c r="H75" s="81">
        <v>2502471</v>
      </c>
      <c r="I75" s="16"/>
      <c r="J75" s="105" t="s">
        <v>273</v>
      </c>
      <c r="K75" s="16"/>
      <c r="L75" s="16"/>
    </row>
    <row r="76" spans="1:12" ht="13.9" x14ac:dyDescent="0.25">
      <c r="A76" s="37">
        <v>42682</v>
      </c>
      <c r="B76" s="38" t="s">
        <v>127</v>
      </c>
      <c r="C76" s="16"/>
      <c r="D76" s="66" t="s">
        <v>181</v>
      </c>
      <c r="E76" s="73">
        <v>351215</v>
      </c>
      <c r="F76" s="16"/>
      <c r="G76" s="88">
        <v>106</v>
      </c>
      <c r="H76" s="81">
        <v>2504114</v>
      </c>
      <c r="I76" s="16"/>
      <c r="J76" s="105" t="s">
        <v>273</v>
      </c>
      <c r="K76" s="16"/>
      <c r="L76" s="16"/>
    </row>
    <row r="77" spans="1:12" ht="13.9" x14ac:dyDescent="0.25">
      <c r="A77" s="37">
        <v>42683</v>
      </c>
      <c r="B77" s="38" t="s">
        <v>127</v>
      </c>
      <c r="C77" s="16"/>
      <c r="D77" s="66" t="s">
        <v>181</v>
      </c>
      <c r="E77" s="73">
        <v>351215</v>
      </c>
      <c r="F77" s="16"/>
      <c r="G77" s="88">
        <v>251.66</v>
      </c>
      <c r="H77" s="81">
        <v>2502424</v>
      </c>
      <c r="I77" s="16"/>
      <c r="J77" s="105" t="s">
        <v>273</v>
      </c>
      <c r="K77" s="16"/>
      <c r="L77" s="16"/>
    </row>
    <row r="78" spans="1:12" ht="13.9" x14ac:dyDescent="0.25">
      <c r="A78" s="37">
        <v>42683</v>
      </c>
      <c r="B78" s="38" t="s">
        <v>127</v>
      </c>
      <c r="C78" s="16"/>
      <c r="D78" s="66" t="s">
        <v>181</v>
      </c>
      <c r="E78" s="73">
        <v>351215</v>
      </c>
      <c r="F78" s="16"/>
      <c r="G78" s="88">
        <v>79</v>
      </c>
      <c r="H78" s="81">
        <v>2506188</v>
      </c>
      <c r="I78" s="16"/>
      <c r="J78" s="105" t="s">
        <v>273</v>
      </c>
      <c r="K78" s="16"/>
      <c r="L78" s="16"/>
    </row>
    <row r="79" spans="1:12" ht="13.9" x14ac:dyDescent="0.25">
      <c r="A79" s="37">
        <v>42683</v>
      </c>
      <c r="B79" s="38" t="s">
        <v>127</v>
      </c>
      <c r="C79" s="16"/>
      <c r="D79" s="66" t="s">
        <v>181</v>
      </c>
      <c r="E79" s="73">
        <v>351215</v>
      </c>
      <c r="F79" s="16"/>
      <c r="G79" s="88">
        <v>90.3</v>
      </c>
      <c r="H79" s="81">
        <v>2502917</v>
      </c>
      <c r="I79" s="16"/>
      <c r="J79" s="105" t="s">
        <v>273</v>
      </c>
      <c r="K79" s="16"/>
      <c r="L79" s="16"/>
    </row>
    <row r="80" spans="1:12" ht="13.9" x14ac:dyDescent="0.25">
      <c r="A80" s="37">
        <v>42684</v>
      </c>
      <c r="B80" s="38" t="s">
        <v>127</v>
      </c>
      <c r="C80" s="16"/>
      <c r="D80" s="66" t="s">
        <v>181</v>
      </c>
      <c r="E80" s="73">
        <v>351215</v>
      </c>
      <c r="F80" s="16"/>
      <c r="G80" s="88">
        <v>88</v>
      </c>
      <c r="H80" s="81">
        <v>2513518</v>
      </c>
      <c r="I80" s="16"/>
      <c r="J80" s="105" t="s">
        <v>273</v>
      </c>
      <c r="K80" s="16"/>
      <c r="L80" s="16"/>
    </row>
    <row r="81" spans="1:10" ht="13.9" x14ac:dyDescent="0.25">
      <c r="A81" s="37">
        <v>42684</v>
      </c>
      <c r="B81" s="38" t="s">
        <v>127</v>
      </c>
      <c r="C81" s="16"/>
      <c r="D81" s="66" t="s">
        <v>181</v>
      </c>
      <c r="E81" s="73">
        <v>351215</v>
      </c>
      <c r="F81" s="16"/>
      <c r="G81" s="88">
        <v>98</v>
      </c>
      <c r="H81" s="81">
        <v>2513537</v>
      </c>
      <c r="I81" s="16"/>
      <c r="J81" s="105" t="s">
        <v>273</v>
      </c>
    </row>
    <row r="82" spans="1:10" ht="13.9" x14ac:dyDescent="0.25">
      <c r="A82" s="37">
        <v>42684</v>
      </c>
      <c r="B82" s="38" t="s">
        <v>127</v>
      </c>
      <c r="C82" s="16"/>
      <c r="D82" s="66" t="s">
        <v>181</v>
      </c>
      <c r="E82" s="73">
        <v>351215</v>
      </c>
      <c r="F82" s="16"/>
      <c r="G82" s="88">
        <v>93.28</v>
      </c>
      <c r="H82" s="81">
        <v>2510322</v>
      </c>
      <c r="I82" s="16"/>
      <c r="J82" s="105" t="s">
        <v>273</v>
      </c>
    </row>
    <row r="83" spans="1:10" ht="13.9" x14ac:dyDescent="0.25">
      <c r="A83" s="37">
        <v>42685</v>
      </c>
      <c r="B83" s="38" t="s">
        <v>127</v>
      </c>
      <c r="C83" s="16"/>
      <c r="D83" s="66" t="s">
        <v>181</v>
      </c>
      <c r="E83" s="73">
        <v>351215</v>
      </c>
      <c r="F83" s="16"/>
      <c r="G83" s="88">
        <v>130.54</v>
      </c>
      <c r="H83" s="81">
        <v>2517142</v>
      </c>
      <c r="I83" s="16"/>
      <c r="J83" s="105" t="s">
        <v>273</v>
      </c>
    </row>
    <row r="84" spans="1:10" ht="13.9" x14ac:dyDescent="0.25">
      <c r="A84" s="37">
        <v>42685</v>
      </c>
      <c r="B84" s="38" t="s">
        <v>127</v>
      </c>
      <c r="C84" s="16"/>
      <c r="D84" s="66" t="s">
        <v>181</v>
      </c>
      <c r="E84" s="73">
        <v>351215</v>
      </c>
      <c r="F84" s="16"/>
      <c r="G84" s="88">
        <v>51</v>
      </c>
      <c r="H84" s="81">
        <v>2518196</v>
      </c>
      <c r="I84" s="16"/>
      <c r="J84" s="105" t="s">
        <v>273</v>
      </c>
    </row>
    <row r="85" spans="1:10" ht="13.9" x14ac:dyDescent="0.25">
      <c r="A85" s="37">
        <v>42685</v>
      </c>
      <c r="B85" s="38" t="s">
        <v>127</v>
      </c>
      <c r="C85" s="16"/>
      <c r="D85" s="66" t="s">
        <v>181</v>
      </c>
      <c r="E85" s="73">
        <v>351215</v>
      </c>
      <c r="F85" s="16"/>
      <c r="G85" s="88">
        <v>65.239999999999995</v>
      </c>
      <c r="H85" s="81">
        <v>2514487</v>
      </c>
      <c r="I85" s="16"/>
      <c r="J85" s="105" t="s">
        <v>273</v>
      </c>
    </row>
    <row r="86" spans="1:10" ht="13.9" x14ac:dyDescent="0.25">
      <c r="A86" s="37">
        <v>42688.279606481483</v>
      </c>
      <c r="B86" s="38" t="s">
        <v>127</v>
      </c>
      <c r="C86" s="16"/>
      <c r="D86" s="66" t="s">
        <v>181</v>
      </c>
      <c r="E86" s="5">
        <v>351215</v>
      </c>
      <c r="F86" s="16"/>
      <c r="G86" s="89">
        <v>67.28</v>
      </c>
      <c r="H86" s="81">
        <v>2524612</v>
      </c>
      <c r="I86" s="16"/>
      <c r="J86" s="106" t="s">
        <v>273</v>
      </c>
    </row>
    <row r="87" spans="1:10" ht="13.9" x14ac:dyDescent="0.25">
      <c r="A87" s="37">
        <v>42688.505532407406</v>
      </c>
      <c r="B87" s="38" t="s">
        <v>127</v>
      </c>
      <c r="C87" s="16"/>
      <c r="D87" s="66" t="s">
        <v>181</v>
      </c>
      <c r="E87" s="5">
        <v>351215</v>
      </c>
      <c r="F87" s="16"/>
      <c r="G87" s="89">
        <v>181.58</v>
      </c>
      <c r="H87" s="81">
        <v>2522892</v>
      </c>
      <c r="I87" s="16"/>
      <c r="J87" s="106" t="s">
        <v>273</v>
      </c>
    </row>
    <row r="88" spans="1:10" ht="13.9" x14ac:dyDescent="0.25">
      <c r="A88" s="37">
        <v>42689.049166666664</v>
      </c>
      <c r="B88" s="38" t="s">
        <v>127</v>
      </c>
      <c r="C88" s="16"/>
      <c r="D88" s="66" t="s">
        <v>181</v>
      </c>
      <c r="E88" s="5">
        <v>351215</v>
      </c>
      <c r="F88" s="16"/>
      <c r="G88" s="89">
        <v>45.9</v>
      </c>
      <c r="H88" s="81">
        <v>2527894</v>
      </c>
      <c r="I88" s="16"/>
      <c r="J88" s="106" t="s">
        <v>273</v>
      </c>
    </row>
    <row r="89" spans="1:10" ht="13.9" x14ac:dyDescent="0.25">
      <c r="A89" s="37">
        <v>42689.18241898148</v>
      </c>
      <c r="B89" s="38" t="s">
        <v>127</v>
      </c>
      <c r="C89" s="16"/>
      <c r="D89" s="66" t="s">
        <v>181</v>
      </c>
      <c r="E89" s="5">
        <v>351215</v>
      </c>
      <c r="F89" s="16"/>
      <c r="G89" s="89">
        <v>48</v>
      </c>
      <c r="H89" s="81">
        <v>2524173</v>
      </c>
      <c r="I89" s="16"/>
      <c r="J89" s="106" t="s">
        <v>273</v>
      </c>
    </row>
    <row r="90" spans="1:10" ht="13.9" x14ac:dyDescent="0.25">
      <c r="A90" s="37">
        <v>42690.456747685188</v>
      </c>
      <c r="B90" s="38" t="s">
        <v>127</v>
      </c>
      <c r="C90" s="16"/>
      <c r="D90" s="66" t="s">
        <v>181</v>
      </c>
      <c r="E90" s="5">
        <v>351215</v>
      </c>
      <c r="F90" s="16"/>
      <c r="G90" s="89">
        <v>132.99</v>
      </c>
      <c r="H90" s="81">
        <v>2529465</v>
      </c>
      <c r="I90" s="16"/>
      <c r="J90" s="106" t="s">
        <v>273</v>
      </c>
    </row>
    <row r="91" spans="1:10" ht="13.9" x14ac:dyDescent="0.25">
      <c r="A91" s="37">
        <v>42691.189756944441</v>
      </c>
      <c r="B91" s="38" t="s">
        <v>127</v>
      </c>
      <c r="C91" s="16"/>
      <c r="D91" s="66" t="s">
        <v>181</v>
      </c>
      <c r="E91" s="5">
        <v>351215</v>
      </c>
      <c r="F91" s="16"/>
      <c r="G91" s="89">
        <v>20.63</v>
      </c>
      <c r="H91" s="81">
        <v>2532619</v>
      </c>
      <c r="I91" s="16"/>
      <c r="J91" s="106" t="s">
        <v>273</v>
      </c>
    </row>
    <row r="92" spans="1:10" ht="13.9" x14ac:dyDescent="0.25">
      <c r="A92" s="37">
        <v>42691.321736111109</v>
      </c>
      <c r="B92" s="38" t="s">
        <v>127</v>
      </c>
      <c r="C92" s="16"/>
      <c r="D92" s="66" t="s">
        <v>181</v>
      </c>
      <c r="E92" s="5">
        <v>351215</v>
      </c>
      <c r="F92" s="16"/>
      <c r="G92" s="89">
        <v>-109</v>
      </c>
      <c r="H92" s="81">
        <v>2288492</v>
      </c>
      <c r="I92" s="16"/>
      <c r="J92" s="106" t="s">
        <v>273</v>
      </c>
    </row>
    <row r="93" spans="1:10" ht="13.9" x14ac:dyDescent="0.25">
      <c r="A93" s="37">
        <v>42692.144606481481</v>
      </c>
      <c r="B93" s="38" t="s">
        <v>127</v>
      </c>
      <c r="C93" s="16"/>
      <c r="D93" s="66" t="s">
        <v>181</v>
      </c>
      <c r="E93" s="5">
        <v>351215</v>
      </c>
      <c r="F93" s="16"/>
      <c r="G93" s="89">
        <v>45</v>
      </c>
      <c r="H93" s="81">
        <v>2536833</v>
      </c>
      <c r="I93" s="16"/>
      <c r="J93" s="106" t="s">
        <v>273</v>
      </c>
    </row>
    <row r="94" spans="1:10" ht="13.9" x14ac:dyDescent="0.25">
      <c r="A94" s="37">
        <v>42692.150462962964</v>
      </c>
      <c r="B94" s="38" t="s">
        <v>127</v>
      </c>
      <c r="C94" s="16"/>
      <c r="D94" s="66" t="s">
        <v>181</v>
      </c>
      <c r="E94" s="5">
        <v>351215</v>
      </c>
      <c r="F94" s="16"/>
      <c r="G94" s="89">
        <v>56.71</v>
      </c>
      <c r="H94" s="81">
        <v>2537285</v>
      </c>
      <c r="I94" s="16"/>
      <c r="J94" s="106" t="s">
        <v>273</v>
      </c>
    </row>
    <row r="95" spans="1:10" ht="13.9" x14ac:dyDescent="0.25">
      <c r="A95" s="37">
        <v>42694</v>
      </c>
      <c r="B95" s="5" t="s">
        <v>127</v>
      </c>
      <c r="C95" s="307"/>
      <c r="D95" s="64" t="s">
        <v>181</v>
      </c>
      <c r="E95" s="5">
        <v>351215</v>
      </c>
      <c r="F95" s="41"/>
      <c r="G95" s="86">
        <v>49</v>
      </c>
      <c r="H95" s="31" t="s">
        <v>198</v>
      </c>
      <c r="I95" s="18"/>
      <c r="J95" s="106" t="s">
        <v>273</v>
      </c>
    </row>
    <row r="96" spans="1:10" ht="13.9" x14ac:dyDescent="0.25">
      <c r="A96" s="37">
        <v>42695</v>
      </c>
      <c r="B96" s="5" t="s">
        <v>127</v>
      </c>
      <c r="C96" s="307"/>
      <c r="D96" s="38">
        <v>376270713997</v>
      </c>
      <c r="E96" s="5">
        <v>351215</v>
      </c>
      <c r="F96" s="41"/>
      <c r="G96" s="90">
        <v>73.400000000000006</v>
      </c>
      <c r="H96" s="84">
        <v>2544668</v>
      </c>
      <c r="I96" s="18"/>
      <c r="J96" s="106" t="s">
        <v>273</v>
      </c>
    </row>
    <row r="97" spans="1:19" ht="13.9" x14ac:dyDescent="0.25">
      <c r="A97" s="37">
        <v>42696</v>
      </c>
      <c r="B97" s="5" t="s">
        <v>127</v>
      </c>
      <c r="C97" s="307"/>
      <c r="D97" s="38">
        <v>376270713997</v>
      </c>
      <c r="E97" s="5">
        <v>351215</v>
      </c>
      <c r="F97" s="41"/>
      <c r="G97" s="90">
        <v>57.24</v>
      </c>
      <c r="H97" s="84">
        <v>2545900</v>
      </c>
      <c r="I97" s="18"/>
      <c r="J97" s="106" t="s">
        <v>273</v>
      </c>
    </row>
    <row r="98" spans="1:19" ht="13.9" x14ac:dyDescent="0.25">
      <c r="A98" s="37">
        <v>42696</v>
      </c>
      <c r="B98" s="5" t="s">
        <v>127</v>
      </c>
      <c r="C98" s="307"/>
      <c r="D98" s="38">
        <v>376270713997</v>
      </c>
      <c r="E98" s="5">
        <v>351215</v>
      </c>
      <c r="F98" s="41"/>
      <c r="G98" s="90">
        <v>125.08</v>
      </c>
      <c r="H98" s="84">
        <v>2545831</v>
      </c>
      <c r="I98" s="18"/>
      <c r="J98" s="106" t="s">
        <v>273</v>
      </c>
    </row>
    <row r="99" spans="1:19" ht="13.9" x14ac:dyDescent="0.25">
      <c r="A99" s="37">
        <v>42696</v>
      </c>
      <c r="B99" s="5" t="s">
        <v>127</v>
      </c>
      <c r="C99" s="307"/>
      <c r="D99" s="38">
        <v>376270713997</v>
      </c>
      <c r="E99" s="5">
        <v>351215</v>
      </c>
      <c r="F99" s="41"/>
      <c r="G99" s="90">
        <v>48</v>
      </c>
      <c r="H99" s="84">
        <v>2547814</v>
      </c>
      <c r="I99" s="18"/>
      <c r="J99" s="106" t="s">
        <v>273</v>
      </c>
    </row>
    <row r="100" spans="1:19" ht="13.9" x14ac:dyDescent="0.25">
      <c r="A100" s="37">
        <v>42697</v>
      </c>
      <c r="B100" s="5" t="s">
        <v>127</v>
      </c>
      <c r="C100" s="307"/>
      <c r="D100" s="38">
        <v>376270713997</v>
      </c>
      <c r="E100" s="5">
        <v>351215</v>
      </c>
      <c r="F100" s="41"/>
      <c r="G100" s="90">
        <v>123.2</v>
      </c>
      <c r="H100" s="84">
        <v>2554482</v>
      </c>
      <c r="I100" s="18"/>
      <c r="J100" s="106" t="s">
        <v>273</v>
      </c>
    </row>
    <row r="101" spans="1:19" ht="13.9" x14ac:dyDescent="0.25">
      <c r="A101" s="37">
        <v>42697</v>
      </c>
      <c r="B101" s="5" t="s">
        <v>127</v>
      </c>
      <c r="C101" s="307"/>
      <c r="D101" s="38">
        <v>376270713997</v>
      </c>
      <c r="E101" s="5">
        <v>351215</v>
      </c>
      <c r="F101" s="41"/>
      <c r="G101" s="90">
        <v>78.14</v>
      </c>
      <c r="H101" s="84">
        <v>2540489</v>
      </c>
      <c r="I101" s="18"/>
      <c r="J101" s="106" t="s">
        <v>273</v>
      </c>
    </row>
    <row r="102" spans="1:19" ht="13.9" x14ac:dyDescent="0.25">
      <c r="A102" s="37">
        <v>42697</v>
      </c>
      <c r="B102" s="5" t="s">
        <v>127</v>
      </c>
      <c r="C102" s="307"/>
      <c r="D102" s="38">
        <v>376270713997</v>
      </c>
      <c r="E102" s="5">
        <v>351215</v>
      </c>
      <c r="F102" s="41"/>
      <c r="G102" s="90">
        <v>20.65</v>
      </c>
      <c r="H102" s="84">
        <v>2552052</v>
      </c>
      <c r="I102" s="18"/>
      <c r="J102" s="106" t="s">
        <v>273</v>
      </c>
    </row>
    <row r="103" spans="1:19" ht="13.9" x14ac:dyDescent="0.25">
      <c r="A103" s="37">
        <v>42696</v>
      </c>
      <c r="B103" s="5" t="s">
        <v>127</v>
      </c>
      <c r="C103" s="307"/>
      <c r="D103" s="38">
        <v>376274997992</v>
      </c>
      <c r="E103" s="5">
        <v>353154</v>
      </c>
      <c r="F103" s="41"/>
      <c r="G103" s="86">
        <v>52.5</v>
      </c>
      <c r="H103" s="31" t="s">
        <v>199</v>
      </c>
      <c r="I103" s="18"/>
      <c r="J103" s="107" t="s">
        <v>274</v>
      </c>
    </row>
    <row r="104" spans="1:19" ht="13.9" x14ac:dyDescent="0.25">
      <c r="A104" s="37">
        <v>42705</v>
      </c>
      <c r="B104" s="38" t="s">
        <v>127</v>
      </c>
      <c r="C104" s="16"/>
      <c r="D104" s="66" t="s">
        <v>184</v>
      </c>
      <c r="E104" s="5">
        <v>226274</v>
      </c>
      <c r="F104" s="17"/>
      <c r="G104" s="87">
        <v>205.20999999999998</v>
      </c>
      <c r="H104" s="5">
        <v>2515012</v>
      </c>
      <c r="I104" s="16"/>
      <c r="J104" s="107" t="s">
        <v>274</v>
      </c>
    </row>
    <row r="105" spans="1:19" ht="13.9" x14ac:dyDescent="0.25">
      <c r="A105" s="37">
        <v>42705</v>
      </c>
      <c r="B105" s="38" t="s">
        <v>127</v>
      </c>
      <c r="C105" s="16"/>
      <c r="D105" s="38" t="s">
        <v>181</v>
      </c>
      <c r="E105" s="21">
        <v>351215</v>
      </c>
      <c r="F105" s="17"/>
      <c r="G105" s="87">
        <v>62.96</v>
      </c>
      <c r="H105" s="5">
        <v>2572461</v>
      </c>
      <c r="I105" s="16"/>
      <c r="J105" s="106" t="s">
        <v>273</v>
      </c>
    </row>
    <row r="106" spans="1:19" ht="13.9" x14ac:dyDescent="0.25">
      <c r="A106" s="37">
        <v>42705</v>
      </c>
      <c r="B106" s="38" t="s">
        <v>127</v>
      </c>
      <c r="C106" s="16"/>
      <c r="D106" s="38" t="s">
        <v>181</v>
      </c>
      <c r="E106" s="21">
        <v>351215</v>
      </c>
      <c r="F106" s="16"/>
      <c r="G106" s="87">
        <v>192.34</v>
      </c>
      <c r="H106" s="5">
        <v>2567709</v>
      </c>
      <c r="I106" s="16"/>
      <c r="J106" s="106" t="s">
        <v>273</v>
      </c>
    </row>
    <row r="107" spans="1:19" ht="13.9" x14ac:dyDescent="0.25">
      <c r="A107" s="37">
        <v>42705</v>
      </c>
      <c r="B107" s="38" t="s">
        <v>127</v>
      </c>
      <c r="C107" s="16"/>
      <c r="D107" s="38" t="s">
        <v>181</v>
      </c>
      <c r="E107" s="21">
        <v>351215</v>
      </c>
      <c r="F107" s="16"/>
      <c r="G107" s="87">
        <v>203.95</v>
      </c>
      <c r="H107" s="5">
        <v>2571435</v>
      </c>
      <c r="I107" s="16"/>
      <c r="J107" s="106" t="s">
        <v>273</v>
      </c>
    </row>
    <row r="108" spans="1:19" ht="13.9" x14ac:dyDescent="0.25">
      <c r="A108" s="37">
        <v>42706</v>
      </c>
      <c r="B108" s="38" t="s">
        <v>127</v>
      </c>
      <c r="C108" s="16"/>
      <c r="D108" s="38" t="s">
        <v>181</v>
      </c>
      <c r="E108" s="21">
        <v>351215</v>
      </c>
      <c r="F108" s="16"/>
      <c r="G108" s="87">
        <v>98</v>
      </c>
      <c r="H108" s="5">
        <v>2582163</v>
      </c>
      <c r="I108" s="16"/>
      <c r="J108" s="106" t="s">
        <v>273</v>
      </c>
    </row>
    <row r="109" spans="1:19" ht="13.9" x14ac:dyDescent="0.25">
      <c r="A109" s="37">
        <v>42706</v>
      </c>
      <c r="B109" s="38" t="s">
        <v>127</v>
      </c>
      <c r="C109" s="16"/>
      <c r="D109" s="38" t="s">
        <v>181</v>
      </c>
      <c r="E109" s="21">
        <v>351215</v>
      </c>
      <c r="F109" s="16"/>
      <c r="G109" s="87">
        <v>56.98</v>
      </c>
      <c r="H109" s="5">
        <v>2581163</v>
      </c>
      <c r="I109" s="16"/>
      <c r="J109" s="106" t="s">
        <v>273</v>
      </c>
    </row>
    <row r="110" spans="1:19" ht="13.9" x14ac:dyDescent="0.25">
      <c r="A110" s="37">
        <v>42706</v>
      </c>
      <c r="B110" s="38" t="s">
        <v>127</v>
      </c>
      <c r="C110" s="16"/>
      <c r="D110" s="38" t="s">
        <v>181</v>
      </c>
      <c r="E110" s="21">
        <v>351215</v>
      </c>
      <c r="F110" s="16"/>
      <c r="G110" s="87">
        <v>236</v>
      </c>
      <c r="H110" s="5">
        <v>2581504</v>
      </c>
      <c r="I110" s="16"/>
      <c r="J110" s="106" t="s">
        <v>273</v>
      </c>
    </row>
    <row r="111" spans="1:19" ht="13.9" x14ac:dyDescent="0.25">
      <c r="A111" s="42">
        <v>42673.476134259261</v>
      </c>
      <c r="B111" s="52" t="s">
        <v>127</v>
      </c>
      <c r="C111" s="43"/>
      <c r="D111" s="52" t="s">
        <v>181</v>
      </c>
      <c r="E111" s="76">
        <v>351215</v>
      </c>
      <c r="F111" s="43"/>
      <c r="G111" s="88">
        <v>56.71</v>
      </c>
      <c r="H111" s="81">
        <v>2473865</v>
      </c>
      <c r="I111" s="43"/>
      <c r="J111" s="106" t="s">
        <v>273</v>
      </c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ht="13.9" x14ac:dyDescent="0.25">
      <c r="A112" s="42">
        <v>42674.16337962963</v>
      </c>
      <c r="B112" s="52" t="s">
        <v>127</v>
      </c>
      <c r="C112" s="43"/>
      <c r="D112" s="52" t="s">
        <v>181</v>
      </c>
      <c r="E112" s="76">
        <v>351215</v>
      </c>
      <c r="F112" s="43"/>
      <c r="G112" s="88">
        <v>57.35</v>
      </c>
      <c r="H112" s="81">
        <v>2476975</v>
      </c>
      <c r="I112" s="43"/>
      <c r="J112" s="106" t="s">
        <v>273</v>
      </c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ht="13.9" x14ac:dyDescent="0.25">
      <c r="A113" s="42">
        <v>42674.196585648147</v>
      </c>
      <c r="B113" s="52" t="s">
        <v>127</v>
      </c>
      <c r="C113" s="43"/>
      <c r="D113" s="52" t="s">
        <v>181</v>
      </c>
      <c r="E113" s="76">
        <v>351215</v>
      </c>
      <c r="F113" s="43"/>
      <c r="G113" s="88">
        <v>60.3</v>
      </c>
      <c r="H113" s="81">
        <v>2479591</v>
      </c>
      <c r="I113" s="43"/>
      <c r="J113" s="106" t="s">
        <v>273</v>
      </c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ht="13.9" x14ac:dyDescent="0.25">
      <c r="A114" s="42">
        <v>42674.259560185186</v>
      </c>
      <c r="B114" s="52" t="s">
        <v>127</v>
      </c>
      <c r="C114" s="43"/>
      <c r="D114" s="52" t="s">
        <v>181</v>
      </c>
      <c r="E114" s="76">
        <v>351215</v>
      </c>
      <c r="F114" s="43"/>
      <c r="G114" s="88">
        <v>118</v>
      </c>
      <c r="H114" s="81">
        <v>2479755</v>
      </c>
      <c r="I114" s="43"/>
      <c r="J114" s="106" t="s">
        <v>273</v>
      </c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ht="13.9" x14ac:dyDescent="0.25">
      <c r="A115" s="42">
        <v>42674.268993055557</v>
      </c>
      <c r="B115" s="52" t="s">
        <v>127</v>
      </c>
      <c r="C115" s="43"/>
      <c r="D115" s="52" t="s">
        <v>181</v>
      </c>
      <c r="E115" s="76">
        <v>351215</v>
      </c>
      <c r="F115" s="43"/>
      <c r="G115" s="88">
        <v>118</v>
      </c>
      <c r="H115" s="81">
        <v>2479603</v>
      </c>
      <c r="I115" s="43"/>
      <c r="J115" s="106" t="s">
        <v>273</v>
      </c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ht="13.9" x14ac:dyDescent="0.25">
      <c r="A116" s="42">
        <v>42674.41097222222</v>
      </c>
      <c r="B116" s="52" t="s">
        <v>127</v>
      </c>
      <c r="C116" s="43"/>
      <c r="D116" s="52" t="s">
        <v>181</v>
      </c>
      <c r="E116" s="76">
        <v>351215</v>
      </c>
      <c r="F116" s="43"/>
      <c r="G116" s="88">
        <v>91.75</v>
      </c>
      <c r="H116" s="81">
        <v>2477224</v>
      </c>
      <c r="I116" s="43"/>
      <c r="J116" s="106" t="s">
        <v>273</v>
      </c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ht="13.9" x14ac:dyDescent="0.25">
      <c r="A117" s="42">
        <v>42674.442997685182</v>
      </c>
      <c r="B117" s="52" t="s">
        <v>127</v>
      </c>
      <c r="C117" s="43"/>
      <c r="D117" s="52" t="s">
        <v>181</v>
      </c>
      <c r="E117" s="76">
        <v>351215</v>
      </c>
      <c r="F117" s="43"/>
      <c r="G117" s="88">
        <v>250.71</v>
      </c>
      <c r="H117" s="81">
        <v>2475732</v>
      </c>
      <c r="I117" s="43"/>
      <c r="J117" s="106" t="s">
        <v>273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ht="13.9" x14ac:dyDescent="0.25">
      <c r="A118" s="42">
        <v>42674.459062499998</v>
      </c>
      <c r="B118" s="52" t="s">
        <v>127</v>
      </c>
      <c r="C118" s="43"/>
      <c r="D118" s="52" t="s">
        <v>181</v>
      </c>
      <c r="E118" s="76">
        <v>351215</v>
      </c>
      <c r="F118" s="43"/>
      <c r="G118" s="88">
        <v>209.7</v>
      </c>
      <c r="H118" s="81">
        <v>2477138</v>
      </c>
      <c r="I118" s="43"/>
      <c r="J118" s="106" t="s">
        <v>273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ht="13.9" x14ac:dyDescent="0.25">
      <c r="A119" s="42">
        <v>42674.462199074071</v>
      </c>
      <c r="B119" s="52" t="s">
        <v>127</v>
      </c>
      <c r="C119" s="43"/>
      <c r="D119" s="52" t="s">
        <v>181</v>
      </c>
      <c r="E119" s="76">
        <v>351215</v>
      </c>
      <c r="F119" s="43"/>
      <c r="G119" s="88">
        <v>118</v>
      </c>
      <c r="H119" s="81">
        <v>2476225</v>
      </c>
      <c r="I119" s="43"/>
      <c r="J119" s="106" t="s">
        <v>273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ht="13.9" x14ac:dyDescent="0.25">
      <c r="A120" s="42">
        <v>42674.483611111114</v>
      </c>
      <c r="B120" s="52" t="s">
        <v>127</v>
      </c>
      <c r="C120" s="43"/>
      <c r="D120" s="52" t="s">
        <v>181</v>
      </c>
      <c r="E120" s="76">
        <v>351215</v>
      </c>
      <c r="F120" s="43"/>
      <c r="G120" s="88">
        <v>56.71</v>
      </c>
      <c r="H120" s="81">
        <v>2476269</v>
      </c>
      <c r="I120" s="43"/>
      <c r="J120" s="106" t="s">
        <v>273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ht="13.9" x14ac:dyDescent="0.25">
      <c r="A121" s="42">
        <v>42674.511331018519</v>
      </c>
      <c r="B121" s="52" t="s">
        <v>127</v>
      </c>
      <c r="C121" s="43"/>
      <c r="D121" s="52" t="s">
        <v>181</v>
      </c>
      <c r="E121" s="76">
        <v>351215</v>
      </c>
      <c r="F121" s="43"/>
      <c r="G121" s="88">
        <v>55</v>
      </c>
      <c r="H121" s="81">
        <v>2476662</v>
      </c>
      <c r="I121" s="43"/>
      <c r="J121" s="106" t="s">
        <v>273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ht="13.9" x14ac:dyDescent="0.25">
      <c r="A122" s="42">
        <v>42674.517025462963</v>
      </c>
      <c r="B122" s="52" t="s">
        <v>127</v>
      </c>
      <c r="C122" s="43"/>
      <c r="D122" s="52" t="s">
        <v>181</v>
      </c>
      <c r="E122" s="76">
        <v>351215</v>
      </c>
      <c r="F122" s="43"/>
      <c r="G122" s="88">
        <v>51.52</v>
      </c>
      <c r="H122" s="81">
        <v>2476928</v>
      </c>
      <c r="I122" s="43"/>
      <c r="J122" s="106" t="s">
        <v>273</v>
      </c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ht="13.9" x14ac:dyDescent="0.25">
      <c r="A123" s="42">
        <v>42675</v>
      </c>
      <c r="B123" s="29" t="s">
        <v>127</v>
      </c>
      <c r="C123" s="19"/>
      <c r="D123" s="62" t="s">
        <v>183</v>
      </c>
      <c r="E123" s="29">
        <v>220501</v>
      </c>
      <c r="F123" s="15"/>
      <c r="G123" s="91">
        <f>6.25+15</f>
        <v>21.25</v>
      </c>
      <c r="H123" s="29">
        <v>2482949</v>
      </c>
      <c r="I123" s="15"/>
      <c r="J123" s="106" t="s">
        <v>273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ht="13.9" x14ac:dyDescent="0.25">
      <c r="A124" s="42">
        <v>42676</v>
      </c>
      <c r="B124" s="29" t="s">
        <v>127</v>
      </c>
      <c r="C124" s="19"/>
      <c r="D124" s="62" t="s">
        <v>183</v>
      </c>
      <c r="E124" s="29">
        <v>220501</v>
      </c>
      <c r="F124" s="15"/>
      <c r="G124" s="91">
        <f>9.65+69.78</f>
        <v>79.430000000000007</v>
      </c>
      <c r="H124" s="29">
        <v>2484076</v>
      </c>
      <c r="I124" s="15"/>
      <c r="J124" s="106" t="s">
        <v>273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ht="13.9" x14ac:dyDescent="0.25">
      <c r="A125" s="42">
        <v>42675.459548611114</v>
      </c>
      <c r="B125" s="29" t="s">
        <v>127</v>
      </c>
      <c r="C125" s="19"/>
      <c r="D125" s="52" t="s">
        <v>181</v>
      </c>
      <c r="E125" s="76">
        <v>351215</v>
      </c>
      <c r="F125" s="15"/>
      <c r="G125" s="88">
        <v>67.59</v>
      </c>
      <c r="H125" s="81">
        <v>2480948</v>
      </c>
      <c r="I125" s="15"/>
      <c r="J125" s="106" t="s">
        <v>273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ht="13.9" x14ac:dyDescent="0.25">
      <c r="A126" s="42">
        <v>42675.489537037036</v>
      </c>
      <c r="B126" s="29" t="s">
        <v>127</v>
      </c>
      <c r="C126" s="19"/>
      <c r="D126" s="52" t="s">
        <v>181</v>
      </c>
      <c r="E126" s="76">
        <v>351215</v>
      </c>
      <c r="F126" s="15"/>
      <c r="G126" s="88">
        <v>150.51</v>
      </c>
      <c r="H126" s="81">
        <v>2480352</v>
      </c>
      <c r="I126" s="15"/>
      <c r="J126" s="106" t="s">
        <v>273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ht="13.9" x14ac:dyDescent="0.25">
      <c r="A127" s="42">
        <v>42676.059074074074</v>
      </c>
      <c r="B127" s="29" t="s">
        <v>127</v>
      </c>
      <c r="C127" s="19"/>
      <c r="D127" s="52" t="s">
        <v>181</v>
      </c>
      <c r="E127" s="76">
        <v>351215</v>
      </c>
      <c r="F127" s="15"/>
      <c r="G127" s="88">
        <v>125.36</v>
      </c>
      <c r="H127" s="81">
        <v>2479487</v>
      </c>
      <c r="I127" s="15"/>
      <c r="J127" s="106" t="s">
        <v>273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ht="13.9" x14ac:dyDescent="0.25">
      <c r="A128" s="42">
        <v>42676.453252314815</v>
      </c>
      <c r="B128" s="29" t="s">
        <v>127</v>
      </c>
      <c r="C128" s="19"/>
      <c r="D128" s="52" t="s">
        <v>181</v>
      </c>
      <c r="E128" s="76">
        <v>351215</v>
      </c>
      <c r="F128" s="15"/>
      <c r="G128" s="88">
        <v>68.52</v>
      </c>
      <c r="H128" s="81">
        <v>2484740</v>
      </c>
      <c r="I128" s="15"/>
      <c r="J128" s="106" t="s">
        <v>273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ht="13.9" x14ac:dyDescent="0.25">
      <c r="A129" s="42">
        <v>42677.081273148149</v>
      </c>
      <c r="B129" s="29" t="s">
        <v>127</v>
      </c>
      <c r="C129" s="19"/>
      <c r="D129" s="52" t="s">
        <v>181</v>
      </c>
      <c r="E129" s="76">
        <v>351215</v>
      </c>
      <c r="F129" s="15"/>
      <c r="G129" s="88">
        <v>97.52</v>
      </c>
      <c r="H129" s="81">
        <v>2488881</v>
      </c>
      <c r="I129" s="15"/>
      <c r="J129" s="106" t="s">
        <v>273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ht="13.9" x14ac:dyDescent="0.25">
      <c r="A130" s="42">
        <v>42678.052210648151</v>
      </c>
      <c r="B130" s="29" t="s">
        <v>127</v>
      </c>
      <c r="C130" s="19"/>
      <c r="D130" s="52" t="s">
        <v>181</v>
      </c>
      <c r="E130" s="76">
        <v>351215</v>
      </c>
      <c r="F130" s="15"/>
      <c r="G130" s="88">
        <v>131.16</v>
      </c>
      <c r="H130" s="81">
        <v>2491396</v>
      </c>
      <c r="I130" s="15"/>
      <c r="J130" s="106" t="s">
        <v>273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ht="13.9" x14ac:dyDescent="0.25">
      <c r="A131" s="42">
        <v>42678.517789351848</v>
      </c>
      <c r="B131" s="29" t="s">
        <v>127</v>
      </c>
      <c r="C131" s="19"/>
      <c r="D131" s="52" t="s">
        <v>181</v>
      </c>
      <c r="E131" s="76">
        <v>351215</v>
      </c>
      <c r="F131" s="15"/>
      <c r="G131" s="88">
        <v>51.95</v>
      </c>
      <c r="H131" s="81">
        <v>2492498</v>
      </c>
      <c r="I131" s="15"/>
      <c r="J131" s="106" t="s">
        <v>273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ht="13.9" x14ac:dyDescent="0.25">
      <c r="A132" s="42">
        <v>42678.537210648145</v>
      </c>
      <c r="B132" s="29" t="s">
        <v>127</v>
      </c>
      <c r="C132" s="19"/>
      <c r="D132" s="52" t="s">
        <v>181</v>
      </c>
      <c r="E132" s="76">
        <v>351215</v>
      </c>
      <c r="F132" s="15"/>
      <c r="G132" s="88">
        <v>72.36</v>
      </c>
      <c r="H132" s="81">
        <v>2494973</v>
      </c>
      <c r="I132" s="15"/>
      <c r="J132" s="106" t="s">
        <v>273</v>
      </c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ht="13.9" x14ac:dyDescent="0.25">
      <c r="A133" s="42">
        <v>42704</v>
      </c>
      <c r="B133" s="29" t="s">
        <v>127</v>
      </c>
      <c r="C133" s="19"/>
      <c r="D133" s="61" t="s">
        <v>184</v>
      </c>
      <c r="E133" s="29">
        <v>226274</v>
      </c>
      <c r="F133" s="15"/>
      <c r="G133" s="91">
        <f>67.49+29.2</f>
        <v>96.69</v>
      </c>
      <c r="H133" s="29">
        <v>2449700</v>
      </c>
      <c r="I133" s="15"/>
      <c r="J133" s="106" t="s">
        <v>273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ht="13.9" x14ac:dyDescent="0.25">
      <c r="A134" s="42">
        <v>42704</v>
      </c>
      <c r="B134" s="29" t="s">
        <v>127</v>
      </c>
      <c r="C134" s="19"/>
      <c r="D134" s="61" t="s">
        <v>184</v>
      </c>
      <c r="E134" s="29">
        <v>226274</v>
      </c>
      <c r="F134" s="15"/>
      <c r="G134" s="91">
        <f>60.91+127.98</f>
        <v>188.89</v>
      </c>
      <c r="H134" s="29">
        <v>2552429</v>
      </c>
      <c r="I134" s="15"/>
      <c r="J134" s="106" t="s">
        <v>273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ht="13.9" x14ac:dyDescent="0.25">
      <c r="A135" s="42">
        <v>42702</v>
      </c>
      <c r="B135" s="29" t="s">
        <v>127</v>
      </c>
      <c r="C135" s="19"/>
      <c r="D135" s="52" t="s">
        <v>181</v>
      </c>
      <c r="E135" s="76">
        <v>351215</v>
      </c>
      <c r="F135" s="15"/>
      <c r="G135" s="92">
        <v>79.2</v>
      </c>
      <c r="H135" s="81">
        <v>2564162</v>
      </c>
      <c r="I135" s="15"/>
      <c r="J135" s="106" t="s">
        <v>273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ht="13.9" x14ac:dyDescent="0.25">
      <c r="A136" s="42">
        <v>42702.265486111108</v>
      </c>
      <c r="B136" s="29" t="s">
        <v>127</v>
      </c>
      <c r="C136" s="19"/>
      <c r="D136" s="52" t="s">
        <v>181</v>
      </c>
      <c r="E136" s="76">
        <v>351215</v>
      </c>
      <c r="F136" s="15"/>
      <c r="G136" s="92">
        <v>84.69</v>
      </c>
      <c r="H136" s="81">
        <v>2562760</v>
      </c>
      <c r="I136" s="15"/>
      <c r="J136" s="106" t="s">
        <v>273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ht="13.9" x14ac:dyDescent="0.25">
      <c r="A137" s="42">
        <v>42702.469988425924</v>
      </c>
      <c r="B137" s="29" t="s">
        <v>127</v>
      </c>
      <c r="C137" s="19"/>
      <c r="D137" s="52" t="s">
        <v>181</v>
      </c>
      <c r="E137" s="76">
        <v>351215</v>
      </c>
      <c r="F137" s="15"/>
      <c r="G137" s="92">
        <v>87.95</v>
      </c>
      <c r="H137" s="81">
        <v>2557531</v>
      </c>
      <c r="I137" s="15"/>
      <c r="J137" s="106" t="s">
        <v>273</v>
      </c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ht="13.9" x14ac:dyDescent="0.25">
      <c r="A138" s="42">
        <v>42702.50640046296</v>
      </c>
      <c r="B138" s="29" t="s">
        <v>127</v>
      </c>
      <c r="C138" s="19"/>
      <c r="D138" s="52" t="s">
        <v>181</v>
      </c>
      <c r="E138" s="76">
        <v>351215</v>
      </c>
      <c r="F138" s="15"/>
      <c r="G138" s="92">
        <v>68.36</v>
      </c>
      <c r="H138" s="81">
        <v>2557799</v>
      </c>
      <c r="I138" s="15"/>
      <c r="J138" s="106" t="s">
        <v>273</v>
      </c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ht="13.9" x14ac:dyDescent="0.25">
      <c r="A139" s="42">
        <v>42703.46675925926</v>
      </c>
      <c r="B139" s="29" t="s">
        <v>127</v>
      </c>
      <c r="C139" s="19"/>
      <c r="D139" s="52" t="s">
        <v>181</v>
      </c>
      <c r="E139" s="76">
        <v>351215</v>
      </c>
      <c r="F139" s="15"/>
      <c r="G139" s="92">
        <v>141.15</v>
      </c>
      <c r="H139" s="81">
        <v>2562631</v>
      </c>
      <c r="I139" s="15"/>
      <c r="J139" s="106" t="s">
        <v>273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ht="13.9" x14ac:dyDescent="0.25">
      <c r="A140" s="42">
        <v>42704.111956018518</v>
      </c>
      <c r="B140" s="29" t="s">
        <v>127</v>
      </c>
      <c r="C140" s="19"/>
      <c r="D140" s="52" t="s">
        <v>181</v>
      </c>
      <c r="E140" s="76">
        <v>351215</v>
      </c>
      <c r="F140" s="15"/>
      <c r="G140" s="92">
        <v>88</v>
      </c>
      <c r="H140" s="81">
        <v>2573327</v>
      </c>
      <c r="I140" s="15"/>
      <c r="J140" s="106" t="s">
        <v>273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ht="13.9" x14ac:dyDescent="0.25">
      <c r="A141" s="42">
        <v>42704.123032407406</v>
      </c>
      <c r="B141" s="29" t="s">
        <v>127</v>
      </c>
      <c r="C141" s="19"/>
      <c r="D141" s="52" t="s">
        <v>181</v>
      </c>
      <c r="E141" s="76">
        <v>351215</v>
      </c>
      <c r="F141" s="15"/>
      <c r="G141" s="92">
        <v>182.04</v>
      </c>
      <c r="H141" s="81">
        <v>2571653</v>
      </c>
      <c r="I141" s="15"/>
      <c r="J141" s="106" t="s">
        <v>273</v>
      </c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ht="13.9" x14ac:dyDescent="0.25">
      <c r="A142" s="42">
        <v>42704.179710648146</v>
      </c>
      <c r="B142" s="29" t="s">
        <v>127</v>
      </c>
      <c r="C142" s="19"/>
      <c r="D142" s="52" t="s">
        <v>181</v>
      </c>
      <c r="E142" s="76">
        <v>351215</v>
      </c>
      <c r="F142" s="15"/>
      <c r="G142" s="92">
        <v>56.71</v>
      </c>
      <c r="H142" s="81">
        <v>2571213</v>
      </c>
      <c r="I142" s="15"/>
      <c r="J142" s="106" t="s">
        <v>273</v>
      </c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ht="13.9" x14ac:dyDescent="0.25">
      <c r="A143" s="42">
        <v>42704.200729166667</v>
      </c>
      <c r="B143" s="29" t="s">
        <v>127</v>
      </c>
      <c r="C143" s="19"/>
      <c r="D143" s="52" t="s">
        <v>181</v>
      </c>
      <c r="E143" s="76">
        <v>351215</v>
      </c>
      <c r="F143" s="15"/>
      <c r="G143" s="92">
        <v>45.95</v>
      </c>
      <c r="H143" s="81">
        <v>2573525</v>
      </c>
      <c r="I143" s="15"/>
      <c r="J143" s="106" t="s">
        <v>273</v>
      </c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ht="13.9" x14ac:dyDescent="0.25">
      <c r="A144" s="42">
        <v>42704.212268518517</v>
      </c>
      <c r="B144" s="29" t="s">
        <v>127</v>
      </c>
      <c r="C144" s="19"/>
      <c r="D144" s="52" t="s">
        <v>181</v>
      </c>
      <c r="E144" s="76">
        <v>351215</v>
      </c>
      <c r="F144" s="15"/>
      <c r="G144" s="92">
        <v>74.069999999999993</v>
      </c>
      <c r="H144" s="81">
        <v>2573686</v>
      </c>
      <c r="I144" s="15"/>
      <c r="J144" s="106" t="s">
        <v>273</v>
      </c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2" ht="13.9" x14ac:dyDescent="0.25">
      <c r="A145" s="213">
        <v>42708</v>
      </c>
      <c r="B145" s="29" t="s">
        <v>127</v>
      </c>
      <c r="C145" s="117"/>
      <c r="D145" s="60">
        <v>376270713997</v>
      </c>
      <c r="E145" s="76">
        <v>351215</v>
      </c>
      <c r="G145" s="93">
        <v>77.900000000000006</v>
      </c>
      <c r="H145" s="83">
        <v>2579188</v>
      </c>
      <c r="J145" s="106" t="s">
        <v>273</v>
      </c>
      <c r="K145" s="45"/>
      <c r="L145" s="45"/>
    </row>
    <row r="146" spans="1:12" ht="13.9" x14ac:dyDescent="0.25">
      <c r="A146" s="213">
        <v>42708</v>
      </c>
      <c r="B146" s="29" t="s">
        <v>127</v>
      </c>
      <c r="C146" s="117"/>
      <c r="D146" s="60">
        <v>376270713997</v>
      </c>
      <c r="E146" s="76">
        <v>351215</v>
      </c>
      <c r="G146" s="93">
        <v>112</v>
      </c>
      <c r="H146" s="83">
        <v>2583421</v>
      </c>
      <c r="J146" s="106" t="s">
        <v>273</v>
      </c>
      <c r="K146" s="45"/>
      <c r="L146" s="45"/>
    </row>
    <row r="147" spans="1:12" ht="13.9" x14ac:dyDescent="0.25">
      <c r="A147" s="213">
        <v>42709</v>
      </c>
      <c r="B147" s="29" t="s">
        <v>127</v>
      </c>
      <c r="C147" s="117"/>
      <c r="D147" s="60">
        <v>376270713997</v>
      </c>
      <c r="E147" s="76">
        <v>351215</v>
      </c>
      <c r="G147" s="93">
        <v>183.46</v>
      </c>
      <c r="H147" s="83">
        <v>2584494</v>
      </c>
      <c r="J147" s="106" t="s">
        <v>273</v>
      </c>
      <c r="K147" s="45"/>
      <c r="L147" s="45"/>
    </row>
    <row r="148" spans="1:12" ht="13.9" x14ac:dyDescent="0.25">
      <c r="A148" s="213">
        <v>42709</v>
      </c>
      <c r="B148" s="29" t="s">
        <v>127</v>
      </c>
      <c r="C148" s="117"/>
      <c r="D148" s="60">
        <v>376270713997</v>
      </c>
      <c r="E148" s="76">
        <v>351215</v>
      </c>
      <c r="G148" s="93">
        <v>150.94999999999999</v>
      </c>
      <c r="H148" s="83">
        <v>2585057</v>
      </c>
      <c r="J148" s="106" t="s">
        <v>273</v>
      </c>
      <c r="K148" s="45"/>
      <c r="L148" s="45"/>
    </row>
    <row r="149" spans="1:12" ht="13.9" x14ac:dyDescent="0.25">
      <c r="A149" s="213">
        <v>42709</v>
      </c>
      <c r="B149" s="29" t="s">
        <v>127</v>
      </c>
      <c r="C149" s="117"/>
      <c r="D149" s="60">
        <v>376270713997</v>
      </c>
      <c r="E149" s="76">
        <v>351215</v>
      </c>
      <c r="G149" s="93">
        <v>18.899999999999999</v>
      </c>
      <c r="H149" s="83">
        <v>2578743</v>
      </c>
      <c r="J149" s="106" t="s">
        <v>273</v>
      </c>
      <c r="K149" s="45"/>
      <c r="L149" s="45"/>
    </row>
    <row r="150" spans="1:12" ht="13.9" x14ac:dyDescent="0.25">
      <c r="A150" s="213">
        <v>42710</v>
      </c>
      <c r="B150" s="29" t="s">
        <v>127</v>
      </c>
      <c r="C150" s="117"/>
      <c r="D150" s="60">
        <v>376270713997</v>
      </c>
      <c r="E150" s="76">
        <v>351215</v>
      </c>
      <c r="G150" s="93">
        <v>83.74</v>
      </c>
      <c r="H150" s="83">
        <v>2587204</v>
      </c>
      <c r="J150" s="106" t="s">
        <v>273</v>
      </c>
      <c r="K150" s="45"/>
      <c r="L150" s="45"/>
    </row>
    <row r="151" spans="1:12" ht="13.9" x14ac:dyDescent="0.25">
      <c r="A151" s="213">
        <v>42710</v>
      </c>
      <c r="B151" s="29" t="s">
        <v>127</v>
      </c>
      <c r="C151" s="117"/>
      <c r="D151" s="60">
        <v>376270713997</v>
      </c>
      <c r="E151" s="76">
        <v>351215</v>
      </c>
      <c r="G151" s="93">
        <v>106</v>
      </c>
      <c r="H151" s="83">
        <v>2592974</v>
      </c>
      <c r="J151" s="106" t="s">
        <v>273</v>
      </c>
      <c r="K151" s="45"/>
      <c r="L151" s="45"/>
    </row>
    <row r="152" spans="1:12" ht="13.9" x14ac:dyDescent="0.25">
      <c r="A152" s="213">
        <v>42710</v>
      </c>
      <c r="B152" s="29" t="s">
        <v>127</v>
      </c>
      <c r="C152" s="117"/>
      <c r="D152" s="60">
        <v>376270713997</v>
      </c>
      <c r="E152" s="76">
        <v>351215</v>
      </c>
      <c r="G152" s="93">
        <v>72.11</v>
      </c>
      <c r="H152" s="83">
        <v>2593079</v>
      </c>
      <c r="J152" s="106" t="s">
        <v>273</v>
      </c>
      <c r="K152" s="45"/>
      <c r="L152" s="45"/>
    </row>
    <row r="153" spans="1:12" ht="13.9" x14ac:dyDescent="0.25">
      <c r="A153" s="213">
        <v>42710</v>
      </c>
      <c r="B153" s="29" t="s">
        <v>127</v>
      </c>
      <c r="C153" s="117"/>
      <c r="D153" s="60">
        <v>376270713997</v>
      </c>
      <c r="E153" s="76">
        <v>351215</v>
      </c>
      <c r="G153" s="93">
        <v>48.6</v>
      </c>
      <c r="H153" s="83">
        <v>2588640</v>
      </c>
      <c r="J153" s="106" t="s">
        <v>273</v>
      </c>
      <c r="K153" s="45"/>
      <c r="L153" s="45"/>
    </row>
    <row r="154" spans="1:12" ht="13.9" x14ac:dyDescent="0.25">
      <c r="A154" s="213">
        <v>42710</v>
      </c>
      <c r="B154" s="29" t="s">
        <v>127</v>
      </c>
      <c r="C154" s="117"/>
      <c r="D154" s="60">
        <v>376270713997</v>
      </c>
      <c r="E154" s="76">
        <v>351215</v>
      </c>
      <c r="G154" s="93">
        <v>122</v>
      </c>
      <c r="H154" s="83">
        <v>2587096</v>
      </c>
      <c r="J154" s="106" t="s">
        <v>273</v>
      </c>
      <c r="K154" s="45"/>
      <c r="L154" s="45"/>
    </row>
    <row r="155" spans="1:12" ht="13.9" x14ac:dyDescent="0.25">
      <c r="A155" s="213">
        <v>42710</v>
      </c>
      <c r="B155" s="29" t="s">
        <v>127</v>
      </c>
      <c r="C155" s="117"/>
      <c r="D155" s="60">
        <v>376270713997</v>
      </c>
      <c r="E155" s="76">
        <v>351215</v>
      </c>
      <c r="G155" s="93">
        <v>121.52</v>
      </c>
      <c r="H155" s="83">
        <v>2587081</v>
      </c>
      <c r="J155" s="106" t="s">
        <v>273</v>
      </c>
      <c r="K155" s="45"/>
      <c r="L155" s="45"/>
    </row>
    <row r="156" spans="1:12" ht="13.9" x14ac:dyDescent="0.25">
      <c r="A156" s="213">
        <v>42711</v>
      </c>
      <c r="B156" s="29" t="s">
        <v>127</v>
      </c>
      <c r="C156" s="117"/>
      <c r="D156" s="60">
        <v>376270713997</v>
      </c>
      <c r="E156" s="76">
        <v>351215</v>
      </c>
      <c r="G156" s="93">
        <v>190.08</v>
      </c>
      <c r="H156" s="83">
        <v>2594485</v>
      </c>
      <c r="J156" s="106" t="s">
        <v>273</v>
      </c>
      <c r="K156" s="45"/>
      <c r="L156" s="45"/>
    </row>
    <row r="157" spans="1:12" ht="13.9" x14ac:dyDescent="0.25">
      <c r="A157" s="213">
        <v>42711</v>
      </c>
      <c r="B157" s="29" t="s">
        <v>127</v>
      </c>
      <c r="C157" s="117"/>
      <c r="D157" s="60">
        <v>376270713997</v>
      </c>
      <c r="E157" s="76">
        <v>351215</v>
      </c>
      <c r="G157" s="93">
        <v>116</v>
      </c>
      <c r="H157" s="83">
        <v>2593236</v>
      </c>
      <c r="J157" s="106" t="s">
        <v>273</v>
      </c>
      <c r="K157" s="45"/>
      <c r="L157" s="45"/>
    </row>
    <row r="158" spans="1:12" ht="13.9" x14ac:dyDescent="0.25">
      <c r="A158" s="213">
        <v>42712</v>
      </c>
      <c r="B158" s="29" t="s">
        <v>127</v>
      </c>
      <c r="C158" s="117"/>
      <c r="D158" s="60">
        <v>376270713997</v>
      </c>
      <c r="E158" s="76">
        <v>351215</v>
      </c>
      <c r="G158" s="93">
        <v>99</v>
      </c>
      <c r="H158" s="83">
        <v>2595789</v>
      </c>
      <c r="J158" s="106" t="s">
        <v>273</v>
      </c>
      <c r="K158" s="45"/>
      <c r="L158" s="45"/>
    </row>
    <row r="159" spans="1:12" ht="13.9" x14ac:dyDescent="0.25">
      <c r="A159" s="213">
        <v>42713</v>
      </c>
      <c r="B159" s="29" t="s">
        <v>127</v>
      </c>
      <c r="C159" s="117"/>
      <c r="D159" s="60">
        <v>376270713997</v>
      </c>
      <c r="E159" s="76">
        <v>351215</v>
      </c>
      <c r="G159" s="93">
        <v>49.12</v>
      </c>
      <c r="H159" s="83">
        <v>2597658</v>
      </c>
      <c r="J159" s="106" t="s">
        <v>273</v>
      </c>
      <c r="K159" s="45"/>
      <c r="L159" s="45"/>
    </row>
    <row r="160" spans="1:12" ht="13.9" x14ac:dyDescent="0.25">
      <c r="A160" s="213">
        <v>42713</v>
      </c>
      <c r="B160" s="29" t="s">
        <v>127</v>
      </c>
      <c r="C160" s="117"/>
      <c r="D160" s="60">
        <v>376270713997</v>
      </c>
      <c r="E160" s="76">
        <v>351215</v>
      </c>
      <c r="G160" s="93">
        <v>126.26</v>
      </c>
      <c r="H160" s="83">
        <v>2600515</v>
      </c>
      <c r="J160" s="106" t="s">
        <v>273</v>
      </c>
      <c r="K160" s="45"/>
      <c r="L160" s="45"/>
    </row>
    <row r="161" spans="1:19" ht="13.9" x14ac:dyDescent="0.25">
      <c r="A161" s="214">
        <v>42718</v>
      </c>
      <c r="B161" s="29" t="s">
        <v>127</v>
      </c>
      <c r="C161" s="19"/>
      <c r="D161" s="62" t="s">
        <v>184</v>
      </c>
      <c r="E161" s="79">
        <v>226274</v>
      </c>
      <c r="F161" s="40"/>
      <c r="G161" s="91">
        <f>14.77+33.77</f>
        <v>48.540000000000006</v>
      </c>
      <c r="H161" s="79">
        <v>2602977</v>
      </c>
      <c r="I161" s="15"/>
      <c r="J161" s="109" t="s">
        <v>274</v>
      </c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ht="13.9" x14ac:dyDescent="0.25">
      <c r="A162" s="214">
        <v>42719</v>
      </c>
      <c r="B162" s="29" t="s">
        <v>127</v>
      </c>
      <c r="C162" s="19"/>
      <c r="D162" s="62" t="s">
        <v>215</v>
      </c>
      <c r="E162" s="79">
        <v>214022</v>
      </c>
      <c r="F162" s="40"/>
      <c r="G162" s="91">
        <f>10.11+39.84</f>
        <v>49.95</v>
      </c>
      <c r="H162" s="79">
        <v>2619620</v>
      </c>
      <c r="I162" s="15"/>
      <c r="J162" s="109" t="s">
        <v>276</v>
      </c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ht="13.9" x14ac:dyDescent="0.25">
      <c r="A163" s="326">
        <v>42715.095590277779</v>
      </c>
      <c r="B163" s="29" t="s">
        <v>127</v>
      </c>
      <c r="C163" s="19"/>
      <c r="D163" s="58" t="s">
        <v>181</v>
      </c>
      <c r="E163" s="80">
        <v>351215</v>
      </c>
      <c r="F163" s="46"/>
      <c r="G163" s="96">
        <v>161.52000000000001</v>
      </c>
      <c r="H163" s="80">
        <v>2604618</v>
      </c>
      <c r="I163" s="15"/>
      <c r="J163" s="109" t="s">
        <v>273</v>
      </c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ht="13.9" x14ac:dyDescent="0.25">
      <c r="A164" s="326">
        <v>42715.511944444443</v>
      </c>
      <c r="B164" s="29" t="s">
        <v>127</v>
      </c>
      <c r="C164" s="19"/>
      <c r="D164" s="58" t="s">
        <v>181</v>
      </c>
      <c r="E164" s="80">
        <v>351215</v>
      </c>
      <c r="F164" s="46"/>
      <c r="G164" s="96">
        <v>173.32</v>
      </c>
      <c r="H164" s="80">
        <v>2579031</v>
      </c>
      <c r="I164" s="15"/>
      <c r="J164" s="109" t="s">
        <v>273</v>
      </c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ht="13.9" x14ac:dyDescent="0.25">
      <c r="A165" s="326">
        <v>42716.142951388887</v>
      </c>
      <c r="B165" s="29" t="s">
        <v>127</v>
      </c>
      <c r="C165" s="19"/>
      <c r="D165" s="58" t="s">
        <v>181</v>
      </c>
      <c r="E165" s="80">
        <v>351215</v>
      </c>
      <c r="F165" s="46"/>
      <c r="G165" s="96">
        <v>73.400000000000006</v>
      </c>
      <c r="H165" s="80">
        <v>2603467</v>
      </c>
      <c r="I165" s="15"/>
      <c r="J165" s="109" t="s">
        <v>273</v>
      </c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ht="13.9" x14ac:dyDescent="0.25">
      <c r="A166" s="326">
        <v>42717.151990740742</v>
      </c>
      <c r="B166" s="29" t="s">
        <v>127</v>
      </c>
      <c r="C166" s="19"/>
      <c r="D166" s="58" t="s">
        <v>181</v>
      </c>
      <c r="E166" s="80">
        <v>351215</v>
      </c>
      <c r="F166" s="46"/>
      <c r="G166" s="96">
        <v>39.1</v>
      </c>
      <c r="H166" s="80">
        <v>2612749</v>
      </c>
      <c r="I166" s="15"/>
      <c r="J166" s="109" t="s">
        <v>273</v>
      </c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ht="13.9" x14ac:dyDescent="0.25">
      <c r="A167" s="326">
        <v>42717.528877314813</v>
      </c>
      <c r="B167" s="29" t="s">
        <v>127</v>
      </c>
      <c r="C167" s="19"/>
      <c r="D167" s="58" t="s">
        <v>181</v>
      </c>
      <c r="E167" s="80">
        <v>351215</v>
      </c>
      <c r="F167" s="46"/>
      <c r="G167" s="96">
        <v>85.33</v>
      </c>
      <c r="H167" s="80">
        <v>2607881</v>
      </c>
      <c r="I167" s="15"/>
      <c r="J167" s="109" t="s">
        <v>273</v>
      </c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ht="13.9" x14ac:dyDescent="0.25">
      <c r="A168" s="326">
        <v>42717.529976851853</v>
      </c>
      <c r="B168" s="29" t="s">
        <v>127</v>
      </c>
      <c r="C168" s="19"/>
      <c r="D168" s="58" t="s">
        <v>181</v>
      </c>
      <c r="E168" s="80">
        <v>351215</v>
      </c>
      <c r="F168" s="46"/>
      <c r="G168" s="96">
        <v>210.37</v>
      </c>
      <c r="H168" s="80">
        <v>2608877</v>
      </c>
      <c r="I168" s="15"/>
      <c r="J168" s="109" t="s">
        <v>273</v>
      </c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ht="13.9" x14ac:dyDescent="0.25">
      <c r="A169" s="326">
        <v>42718.174270833333</v>
      </c>
      <c r="B169" s="29" t="s">
        <v>127</v>
      </c>
      <c r="C169" s="19"/>
      <c r="D169" s="58" t="s">
        <v>181</v>
      </c>
      <c r="E169" s="80">
        <v>351215</v>
      </c>
      <c r="F169" s="46"/>
      <c r="G169" s="96">
        <v>123.05</v>
      </c>
      <c r="H169" s="80">
        <v>2618220</v>
      </c>
      <c r="I169" s="15"/>
      <c r="J169" s="109" t="s">
        <v>273</v>
      </c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ht="13.9" x14ac:dyDescent="0.25">
      <c r="A170" s="326">
        <v>42718.256874999999</v>
      </c>
      <c r="B170" s="29" t="s">
        <v>127</v>
      </c>
      <c r="C170" s="19"/>
      <c r="D170" s="58" t="s">
        <v>181</v>
      </c>
      <c r="E170" s="80">
        <v>351215</v>
      </c>
      <c r="F170" s="46"/>
      <c r="G170" s="96">
        <v>109</v>
      </c>
      <c r="H170" s="80">
        <v>2617519</v>
      </c>
      <c r="I170" s="15"/>
      <c r="J170" s="109" t="s">
        <v>273</v>
      </c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ht="13.9" x14ac:dyDescent="0.25">
      <c r="A171" s="326">
        <v>42719.087222222224</v>
      </c>
      <c r="B171" s="29" t="s">
        <v>127</v>
      </c>
      <c r="C171" s="19"/>
      <c r="D171" s="58" t="s">
        <v>181</v>
      </c>
      <c r="E171" s="80">
        <v>351215</v>
      </c>
      <c r="F171" s="46"/>
      <c r="G171" s="96">
        <v>322</v>
      </c>
      <c r="H171" s="80">
        <v>2618414</v>
      </c>
      <c r="I171" s="15"/>
      <c r="J171" s="109" t="s">
        <v>273</v>
      </c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ht="13.9" x14ac:dyDescent="0.25">
      <c r="A172" s="326">
        <v>42719.107175925928</v>
      </c>
      <c r="B172" s="29" t="s">
        <v>127</v>
      </c>
      <c r="C172" s="19"/>
      <c r="D172" s="58" t="s">
        <v>181</v>
      </c>
      <c r="E172" s="80">
        <v>351215</v>
      </c>
      <c r="F172" s="46"/>
      <c r="G172" s="96">
        <v>87.3</v>
      </c>
      <c r="H172" s="80">
        <v>2618392</v>
      </c>
      <c r="I172" s="15"/>
      <c r="J172" s="109" t="s">
        <v>273</v>
      </c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ht="13.9" x14ac:dyDescent="0.25">
      <c r="A173" s="326">
        <v>42719.159583333334</v>
      </c>
      <c r="B173" s="29" t="s">
        <v>127</v>
      </c>
      <c r="C173" s="19"/>
      <c r="D173" s="58" t="s">
        <v>181</v>
      </c>
      <c r="E173" s="80">
        <v>351215</v>
      </c>
      <c r="F173" s="46"/>
      <c r="G173" s="96">
        <v>95.04</v>
      </c>
      <c r="H173" s="80">
        <v>2621947</v>
      </c>
      <c r="I173" s="15"/>
      <c r="J173" s="109" t="s">
        <v>273</v>
      </c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ht="13.9" x14ac:dyDescent="0.25">
      <c r="A174" s="326">
        <v>42719.190312500003</v>
      </c>
      <c r="B174" s="29" t="s">
        <v>127</v>
      </c>
      <c r="C174" s="19"/>
      <c r="D174" s="58" t="s">
        <v>181</v>
      </c>
      <c r="E174" s="80">
        <v>351215</v>
      </c>
      <c r="F174" s="46"/>
      <c r="G174" s="96">
        <v>33.950000000000003</v>
      </c>
      <c r="H174" s="80">
        <v>2621639</v>
      </c>
      <c r="I174" s="15"/>
      <c r="J174" s="109" t="s">
        <v>273</v>
      </c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ht="13.9" x14ac:dyDescent="0.25">
      <c r="A175" s="326">
        <v>42719.193738425929</v>
      </c>
      <c r="B175" s="29" t="s">
        <v>127</v>
      </c>
      <c r="C175" s="19"/>
      <c r="D175" s="58" t="s">
        <v>181</v>
      </c>
      <c r="E175" s="80">
        <v>351215</v>
      </c>
      <c r="F175" s="46"/>
      <c r="G175" s="96">
        <v>62</v>
      </c>
      <c r="H175" s="80">
        <v>2621656</v>
      </c>
      <c r="I175" s="15"/>
      <c r="J175" s="109" t="s">
        <v>273</v>
      </c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ht="13.9" x14ac:dyDescent="0.25">
      <c r="A176" s="326">
        <v>42719.220578703702</v>
      </c>
      <c r="B176" s="29" t="s">
        <v>127</v>
      </c>
      <c r="C176" s="19"/>
      <c r="D176" s="58" t="s">
        <v>181</v>
      </c>
      <c r="E176" s="80">
        <v>351215</v>
      </c>
      <c r="F176" s="46"/>
      <c r="G176" s="96">
        <v>115</v>
      </c>
      <c r="H176" s="80">
        <v>2619471</v>
      </c>
      <c r="I176" s="15"/>
      <c r="J176" s="109" t="s">
        <v>273</v>
      </c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ht="13.9" x14ac:dyDescent="0.25">
      <c r="A177" s="326">
        <v>42719.274872685186</v>
      </c>
      <c r="B177" s="29" t="s">
        <v>127</v>
      </c>
      <c r="C177" s="19"/>
      <c r="D177" s="58" t="s">
        <v>181</v>
      </c>
      <c r="E177" s="80">
        <v>351215</v>
      </c>
      <c r="F177" s="46"/>
      <c r="G177" s="96">
        <v>65</v>
      </c>
      <c r="H177" s="80">
        <v>2621825</v>
      </c>
      <c r="I177" s="15"/>
      <c r="J177" s="109" t="s">
        <v>273</v>
      </c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ht="13.9" x14ac:dyDescent="0.25">
      <c r="A178" s="326">
        <v>42720.045162037037</v>
      </c>
      <c r="B178" s="29" t="s">
        <v>127</v>
      </c>
      <c r="C178" s="19"/>
      <c r="D178" s="58" t="s">
        <v>181</v>
      </c>
      <c r="E178" s="80">
        <v>351215</v>
      </c>
      <c r="F178" s="46"/>
      <c r="G178" s="96">
        <v>74.95</v>
      </c>
      <c r="H178" s="80">
        <v>2622210</v>
      </c>
      <c r="I178" s="15"/>
      <c r="J178" s="109" t="s">
        <v>273</v>
      </c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ht="13.9" x14ac:dyDescent="0.25">
      <c r="A179" s="326">
        <v>42720.053553240738</v>
      </c>
      <c r="B179" s="29" t="s">
        <v>127</v>
      </c>
      <c r="C179" s="19"/>
      <c r="D179" s="58" t="s">
        <v>181</v>
      </c>
      <c r="E179" s="80">
        <v>351215</v>
      </c>
      <c r="F179" s="46"/>
      <c r="G179" s="96">
        <v>52.44</v>
      </c>
      <c r="H179" s="80">
        <v>2623303</v>
      </c>
      <c r="I179" s="15"/>
      <c r="J179" s="109" t="s">
        <v>273</v>
      </c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ht="13.9" x14ac:dyDescent="0.25">
      <c r="A180" s="326">
        <v>42720.063530092593</v>
      </c>
      <c r="B180" s="29" t="s">
        <v>127</v>
      </c>
      <c r="C180" s="19"/>
      <c r="D180" s="58" t="s">
        <v>181</v>
      </c>
      <c r="E180" s="80">
        <v>351215</v>
      </c>
      <c r="F180" s="46"/>
      <c r="G180" s="96">
        <v>48</v>
      </c>
      <c r="H180" s="80">
        <v>2626165</v>
      </c>
      <c r="I180" s="15"/>
      <c r="J180" s="109" t="s">
        <v>273</v>
      </c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ht="13.9" x14ac:dyDescent="0.25">
      <c r="A181" s="326">
        <v>42720.103379629632</v>
      </c>
      <c r="B181" s="29" t="s">
        <v>127</v>
      </c>
      <c r="C181" s="19"/>
      <c r="D181" s="58" t="s">
        <v>181</v>
      </c>
      <c r="E181" s="80">
        <v>351215</v>
      </c>
      <c r="F181" s="46"/>
      <c r="G181" s="96">
        <v>67.900000000000006</v>
      </c>
      <c r="H181" s="80">
        <v>2626218</v>
      </c>
      <c r="I181" s="15"/>
      <c r="J181" s="109" t="s">
        <v>273</v>
      </c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ht="13.9" x14ac:dyDescent="0.25">
      <c r="A182" s="326">
        <v>42720.261157407411</v>
      </c>
      <c r="B182" s="29" t="s">
        <v>127</v>
      </c>
      <c r="C182" s="19"/>
      <c r="D182" s="58" t="s">
        <v>181</v>
      </c>
      <c r="E182" s="80">
        <v>351215</v>
      </c>
      <c r="F182" s="46"/>
      <c r="G182" s="96">
        <v>191.84</v>
      </c>
      <c r="H182" s="80">
        <v>2621553</v>
      </c>
      <c r="I182" s="15"/>
      <c r="J182" s="109" t="s">
        <v>273</v>
      </c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ht="13.9" x14ac:dyDescent="0.25">
      <c r="A183" s="326">
        <v>42720.534166666665</v>
      </c>
      <c r="B183" s="29" t="s">
        <v>127</v>
      </c>
      <c r="C183" s="19"/>
      <c r="D183" s="58" t="s">
        <v>181</v>
      </c>
      <c r="E183" s="80">
        <v>351215</v>
      </c>
      <c r="F183" s="46"/>
      <c r="G183" s="96">
        <v>116.03</v>
      </c>
      <c r="H183" s="80">
        <v>2623568</v>
      </c>
      <c r="I183" s="15"/>
      <c r="J183" s="109" t="s">
        <v>273</v>
      </c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ht="13.9" x14ac:dyDescent="0.25">
      <c r="A184" s="325">
        <v>42722.104525462964</v>
      </c>
      <c r="B184" s="50" t="s">
        <v>127</v>
      </c>
      <c r="C184" s="206"/>
      <c r="D184" s="66" t="s">
        <v>181</v>
      </c>
      <c r="E184" s="81">
        <v>351215</v>
      </c>
      <c r="G184" s="97">
        <v>53</v>
      </c>
      <c r="H184" s="81">
        <v>2622076</v>
      </c>
      <c r="J184" s="113" t="s">
        <v>277</v>
      </c>
    </row>
    <row r="185" spans="1:19" ht="13.9" x14ac:dyDescent="0.25">
      <c r="A185" s="325">
        <v>42722.10659722222</v>
      </c>
      <c r="B185" s="50" t="s">
        <v>127</v>
      </c>
      <c r="C185" s="117"/>
      <c r="D185" s="66" t="s">
        <v>181</v>
      </c>
      <c r="E185" s="81">
        <v>351215</v>
      </c>
      <c r="G185" s="92">
        <v>56.18</v>
      </c>
      <c r="H185" s="81">
        <v>2622340</v>
      </c>
      <c r="J185" s="113" t="s">
        <v>277</v>
      </c>
    </row>
    <row r="186" spans="1:19" ht="13.9" x14ac:dyDescent="0.25">
      <c r="A186" s="325">
        <v>42722.402696759258</v>
      </c>
      <c r="B186" s="50" t="s">
        <v>127</v>
      </c>
      <c r="C186" s="117"/>
      <c r="D186" s="66" t="s">
        <v>181</v>
      </c>
      <c r="E186" s="81">
        <v>351215</v>
      </c>
      <c r="G186" s="92">
        <v>122</v>
      </c>
      <c r="H186" s="81">
        <v>2626494</v>
      </c>
      <c r="J186" s="113" t="s">
        <v>277</v>
      </c>
    </row>
    <row r="187" spans="1:19" ht="13.9" x14ac:dyDescent="0.25">
      <c r="A187" s="325">
        <v>42723.073703703703</v>
      </c>
      <c r="B187" s="50" t="s">
        <v>127</v>
      </c>
      <c r="C187" s="117"/>
      <c r="D187" s="66" t="s">
        <v>181</v>
      </c>
      <c r="E187" s="81">
        <v>351215</v>
      </c>
      <c r="G187" s="92">
        <v>67</v>
      </c>
      <c r="H187" s="81">
        <v>2628990</v>
      </c>
      <c r="J187" s="113" t="s">
        <v>277</v>
      </c>
    </row>
    <row r="188" spans="1:19" ht="13.9" x14ac:dyDescent="0.25">
      <c r="A188" s="325">
        <v>42723.192395833335</v>
      </c>
      <c r="B188" s="50" t="s">
        <v>127</v>
      </c>
      <c r="C188" s="117"/>
      <c r="D188" s="66" t="s">
        <v>181</v>
      </c>
      <c r="E188" s="81">
        <v>351215</v>
      </c>
      <c r="G188" s="92">
        <v>180.26</v>
      </c>
      <c r="H188" s="81">
        <v>2629508</v>
      </c>
      <c r="J188" s="113" t="s">
        <v>277</v>
      </c>
    </row>
    <row r="189" spans="1:19" ht="13.9" x14ac:dyDescent="0.25">
      <c r="A189" s="325">
        <v>42723.246412037035</v>
      </c>
      <c r="B189" s="50" t="s">
        <v>127</v>
      </c>
      <c r="C189" s="117"/>
      <c r="D189" s="66" t="s">
        <v>181</v>
      </c>
      <c r="E189" s="81">
        <v>351215</v>
      </c>
      <c r="G189" s="92">
        <v>338</v>
      </c>
      <c r="H189" s="81">
        <v>2632309</v>
      </c>
      <c r="J189" s="113" t="s">
        <v>277</v>
      </c>
    </row>
    <row r="190" spans="1:19" ht="13.9" x14ac:dyDescent="0.25">
      <c r="A190" s="325">
        <v>42723.258055555554</v>
      </c>
      <c r="B190" s="50" t="s">
        <v>127</v>
      </c>
      <c r="C190" s="117"/>
      <c r="D190" s="66" t="s">
        <v>181</v>
      </c>
      <c r="E190" s="81">
        <v>351215</v>
      </c>
      <c r="G190" s="92">
        <v>58.45</v>
      </c>
      <c r="H190" s="81">
        <v>2625071</v>
      </c>
      <c r="J190" s="113" t="s">
        <v>277</v>
      </c>
    </row>
    <row r="191" spans="1:19" ht="13.9" x14ac:dyDescent="0.25">
      <c r="A191" s="325">
        <v>42723.468263888892</v>
      </c>
      <c r="B191" s="50" t="s">
        <v>127</v>
      </c>
      <c r="C191" s="117"/>
      <c r="D191" s="66" t="s">
        <v>181</v>
      </c>
      <c r="E191" s="81">
        <v>351215</v>
      </c>
      <c r="G191" s="92">
        <v>63</v>
      </c>
      <c r="H191" s="81">
        <v>2623437</v>
      </c>
      <c r="J191" s="113" t="s">
        <v>277</v>
      </c>
    </row>
    <row r="192" spans="1:19" ht="13.9" x14ac:dyDescent="0.25">
      <c r="A192" s="325">
        <v>42723.474374999998</v>
      </c>
      <c r="B192" s="50" t="s">
        <v>127</v>
      </c>
      <c r="C192" s="117"/>
      <c r="D192" s="66" t="s">
        <v>181</v>
      </c>
      <c r="E192" s="81">
        <v>351215</v>
      </c>
      <c r="G192" s="92">
        <v>312.77999999999997</v>
      </c>
      <c r="H192" s="81">
        <v>2627618</v>
      </c>
      <c r="J192" s="113" t="s">
        <v>277</v>
      </c>
    </row>
    <row r="193" spans="1:10" ht="13.9" x14ac:dyDescent="0.25">
      <c r="A193" s="325">
        <v>42723.474768518521</v>
      </c>
      <c r="B193" s="50" t="s">
        <v>127</v>
      </c>
      <c r="C193" s="117"/>
      <c r="D193" s="66" t="s">
        <v>181</v>
      </c>
      <c r="E193" s="81">
        <v>351215</v>
      </c>
      <c r="G193" s="92">
        <v>114</v>
      </c>
      <c r="H193" s="81">
        <v>2628319</v>
      </c>
      <c r="J193" s="113" t="s">
        <v>277</v>
      </c>
    </row>
    <row r="194" spans="1:10" ht="13.9" x14ac:dyDescent="0.25">
      <c r="A194" s="325">
        <v>42723.480393518519</v>
      </c>
      <c r="B194" s="50" t="s">
        <v>127</v>
      </c>
      <c r="C194" s="117"/>
      <c r="D194" s="66" t="s">
        <v>181</v>
      </c>
      <c r="E194" s="81">
        <v>351215</v>
      </c>
      <c r="G194" s="92">
        <v>114</v>
      </c>
      <c r="H194" s="81">
        <v>2622250</v>
      </c>
      <c r="J194" s="113" t="s">
        <v>277</v>
      </c>
    </row>
    <row r="195" spans="1:10" ht="13.9" x14ac:dyDescent="0.25">
      <c r="A195" s="325">
        <v>42723.489027777781</v>
      </c>
      <c r="B195" s="50" t="s">
        <v>127</v>
      </c>
      <c r="C195" s="117"/>
      <c r="D195" s="66" t="s">
        <v>181</v>
      </c>
      <c r="E195" s="81">
        <v>351215</v>
      </c>
      <c r="G195" s="92">
        <v>115</v>
      </c>
      <c r="H195" s="81">
        <v>2622212</v>
      </c>
      <c r="J195" s="113" t="s">
        <v>277</v>
      </c>
    </row>
    <row r="196" spans="1:10" ht="13.9" x14ac:dyDescent="0.25">
      <c r="A196" s="325">
        <v>42723.494097222225</v>
      </c>
      <c r="B196" s="50" t="s">
        <v>127</v>
      </c>
      <c r="C196" s="117"/>
      <c r="D196" s="66" t="s">
        <v>181</v>
      </c>
      <c r="E196" s="81">
        <v>351215</v>
      </c>
      <c r="G196" s="92">
        <v>108.17</v>
      </c>
      <c r="H196" s="81">
        <v>2622815</v>
      </c>
      <c r="J196" s="113" t="s">
        <v>277</v>
      </c>
    </row>
    <row r="197" spans="1:10" ht="13.9" x14ac:dyDescent="0.25">
      <c r="A197" s="325">
        <v>42723.499606481484</v>
      </c>
      <c r="B197" s="50" t="s">
        <v>127</v>
      </c>
      <c r="C197" s="117"/>
      <c r="D197" s="66" t="s">
        <v>181</v>
      </c>
      <c r="E197" s="81">
        <v>351215</v>
      </c>
      <c r="G197" s="92">
        <v>119</v>
      </c>
      <c r="H197" s="81">
        <v>2628011</v>
      </c>
      <c r="J197" s="113" t="s">
        <v>277</v>
      </c>
    </row>
    <row r="198" spans="1:10" ht="13.9" x14ac:dyDescent="0.25">
      <c r="A198" s="325">
        <v>42724.159780092596</v>
      </c>
      <c r="B198" s="50" t="s">
        <v>127</v>
      </c>
      <c r="C198" s="117"/>
      <c r="D198" s="66" t="s">
        <v>181</v>
      </c>
      <c r="E198" s="81">
        <v>351215</v>
      </c>
      <c r="G198" s="92">
        <v>62.06</v>
      </c>
      <c r="H198" s="81">
        <v>2637461</v>
      </c>
      <c r="J198" s="113" t="s">
        <v>277</v>
      </c>
    </row>
    <row r="199" spans="1:10" ht="13.9" x14ac:dyDescent="0.25">
      <c r="A199" s="325">
        <v>42724.170937499999</v>
      </c>
      <c r="B199" s="50" t="s">
        <v>127</v>
      </c>
      <c r="C199" s="117"/>
      <c r="D199" s="66" t="s">
        <v>181</v>
      </c>
      <c r="E199" s="81">
        <v>351215</v>
      </c>
      <c r="G199" s="92">
        <v>236</v>
      </c>
      <c r="H199" s="81">
        <v>2637957</v>
      </c>
      <c r="J199" s="113" t="s">
        <v>277</v>
      </c>
    </row>
    <row r="200" spans="1:10" ht="13.9" x14ac:dyDescent="0.25">
      <c r="A200" s="325">
        <v>42724.204363425924</v>
      </c>
      <c r="B200" s="50" t="s">
        <v>127</v>
      </c>
      <c r="C200" s="117"/>
      <c r="D200" s="66" t="s">
        <v>181</v>
      </c>
      <c r="E200" s="81">
        <v>351215</v>
      </c>
      <c r="G200" s="92">
        <v>118</v>
      </c>
      <c r="H200" s="81">
        <v>2633126</v>
      </c>
      <c r="J200" s="113" t="s">
        <v>277</v>
      </c>
    </row>
    <row r="201" spans="1:10" ht="13.9" x14ac:dyDescent="0.25">
      <c r="A201" s="325">
        <v>42724.236180555556</v>
      </c>
      <c r="B201" s="50" t="s">
        <v>127</v>
      </c>
      <c r="C201" s="117"/>
      <c r="D201" s="66" t="s">
        <v>181</v>
      </c>
      <c r="E201" s="81">
        <v>351215</v>
      </c>
      <c r="G201" s="92">
        <v>79.75</v>
      </c>
      <c r="H201" s="81">
        <v>2632694</v>
      </c>
      <c r="J201" s="113" t="s">
        <v>277</v>
      </c>
    </row>
    <row r="202" spans="1:10" ht="13.9" x14ac:dyDescent="0.25">
      <c r="A202" s="325">
        <v>42724.418020833335</v>
      </c>
      <c r="B202" s="50" t="s">
        <v>127</v>
      </c>
      <c r="C202" s="117"/>
      <c r="D202" s="66" t="s">
        <v>181</v>
      </c>
      <c r="E202" s="81">
        <v>351215</v>
      </c>
      <c r="G202" s="92">
        <v>114.49</v>
      </c>
      <c r="H202" s="81">
        <v>2630805</v>
      </c>
      <c r="J202" s="113" t="s">
        <v>277</v>
      </c>
    </row>
    <row r="203" spans="1:10" ht="13.9" x14ac:dyDescent="0.25">
      <c r="A203" s="325">
        <v>42725.080104166664</v>
      </c>
      <c r="B203" s="50" t="s">
        <v>127</v>
      </c>
      <c r="C203" s="117"/>
      <c r="D203" s="66" t="s">
        <v>181</v>
      </c>
      <c r="E203" s="81">
        <v>351215</v>
      </c>
      <c r="G203" s="92">
        <v>51</v>
      </c>
      <c r="H203" s="81">
        <v>2639627</v>
      </c>
      <c r="J203" s="113" t="s">
        <v>277</v>
      </c>
    </row>
    <row r="204" spans="1:10" ht="13.9" x14ac:dyDescent="0.25">
      <c r="A204" s="325">
        <v>42725.151550925926</v>
      </c>
      <c r="B204" s="50" t="s">
        <v>127</v>
      </c>
      <c r="C204" s="117"/>
      <c r="D204" s="66" t="s">
        <v>181</v>
      </c>
      <c r="E204" s="81">
        <v>351215</v>
      </c>
      <c r="G204" s="92">
        <v>109</v>
      </c>
      <c r="H204" s="81">
        <v>2641819</v>
      </c>
      <c r="J204" s="113" t="s">
        <v>277</v>
      </c>
    </row>
    <row r="205" spans="1:10" ht="13.9" x14ac:dyDescent="0.25">
      <c r="A205" s="325">
        <v>42725.188773148147</v>
      </c>
      <c r="B205" s="50" t="s">
        <v>127</v>
      </c>
      <c r="C205" s="117"/>
      <c r="D205" s="66" t="s">
        <v>181</v>
      </c>
      <c r="E205" s="81">
        <v>351215</v>
      </c>
      <c r="G205" s="92">
        <v>96.36</v>
      </c>
      <c r="H205" s="81">
        <v>2639846</v>
      </c>
      <c r="J205" s="113" t="s">
        <v>277</v>
      </c>
    </row>
    <row r="206" spans="1:10" ht="13.9" x14ac:dyDescent="0.25">
      <c r="A206" s="325">
        <v>42726.245115740741</v>
      </c>
      <c r="B206" s="50" t="s">
        <v>127</v>
      </c>
      <c r="C206" s="117"/>
      <c r="D206" s="66" t="s">
        <v>181</v>
      </c>
      <c r="E206" s="81">
        <v>351215</v>
      </c>
      <c r="G206" s="92">
        <v>115</v>
      </c>
      <c r="H206" s="81">
        <v>2640354</v>
      </c>
      <c r="J206" s="113" t="s">
        <v>277</v>
      </c>
    </row>
    <row r="207" spans="1:10" ht="13.9" x14ac:dyDescent="0.25">
      <c r="A207" s="325">
        <v>42727.055625000001</v>
      </c>
      <c r="B207" s="50" t="s">
        <v>127</v>
      </c>
      <c r="C207" s="117"/>
      <c r="D207" s="66" t="s">
        <v>181</v>
      </c>
      <c r="E207" s="81">
        <v>351215</v>
      </c>
      <c r="G207" s="92">
        <v>124.12</v>
      </c>
      <c r="H207" s="81">
        <v>2645755</v>
      </c>
      <c r="J207" s="113" t="s">
        <v>277</v>
      </c>
    </row>
    <row r="208" spans="1:10" ht="13.9" x14ac:dyDescent="0.25">
      <c r="A208" s="325">
        <v>42727.075277777774</v>
      </c>
      <c r="B208" s="50" t="s">
        <v>127</v>
      </c>
      <c r="C208" s="117"/>
      <c r="D208" s="66" t="s">
        <v>181</v>
      </c>
      <c r="E208" s="81">
        <v>351215</v>
      </c>
      <c r="G208" s="92">
        <v>43.2</v>
      </c>
      <c r="H208" s="81">
        <v>2638452</v>
      </c>
      <c r="J208" s="113" t="s">
        <v>277</v>
      </c>
    </row>
    <row r="209" spans="1:15" ht="13.9" x14ac:dyDescent="0.25">
      <c r="A209" s="325">
        <v>42727.079305555555</v>
      </c>
      <c r="B209" s="50" t="s">
        <v>127</v>
      </c>
      <c r="C209" s="117"/>
      <c r="D209" s="66" t="s">
        <v>181</v>
      </c>
      <c r="E209" s="81">
        <v>351215</v>
      </c>
      <c r="G209" s="92">
        <v>88</v>
      </c>
      <c r="H209" s="81">
        <v>2645611</v>
      </c>
      <c r="J209" s="113" t="s">
        <v>277</v>
      </c>
    </row>
    <row r="210" spans="1:15" ht="13.9" x14ac:dyDescent="0.25">
      <c r="A210" s="325">
        <v>42727.451226851852</v>
      </c>
      <c r="B210" s="50" t="s">
        <v>127</v>
      </c>
      <c r="C210" s="117"/>
      <c r="D210" s="66" t="s">
        <v>181</v>
      </c>
      <c r="E210" s="81">
        <v>351215</v>
      </c>
      <c r="G210" s="92">
        <v>159</v>
      </c>
      <c r="H210" s="81">
        <v>2646683</v>
      </c>
      <c r="J210" s="113" t="s">
        <v>277</v>
      </c>
    </row>
    <row r="211" spans="1:15" ht="13.9" x14ac:dyDescent="0.25">
      <c r="A211" s="325">
        <v>42727.497210648151</v>
      </c>
      <c r="B211" s="50" t="s">
        <v>127</v>
      </c>
      <c r="C211" s="117"/>
      <c r="D211" s="66" t="s">
        <v>181</v>
      </c>
      <c r="E211" s="81">
        <v>351215</v>
      </c>
      <c r="G211" s="92">
        <v>125.64</v>
      </c>
      <c r="H211" s="81">
        <v>2646195</v>
      </c>
      <c r="J211" s="113" t="s">
        <v>277</v>
      </c>
    </row>
    <row r="212" spans="1:15" ht="13.9" x14ac:dyDescent="0.25">
      <c r="A212" s="324">
        <v>42724.226030092592</v>
      </c>
      <c r="B212" s="51" t="s">
        <v>127</v>
      </c>
      <c r="C212" s="19"/>
      <c r="D212" s="57" t="s">
        <v>184</v>
      </c>
      <c r="E212" s="82">
        <v>226274</v>
      </c>
      <c r="F212" s="15"/>
      <c r="G212" s="98">
        <v>112.68</v>
      </c>
      <c r="H212" s="82">
        <v>2622870</v>
      </c>
      <c r="I212" s="15"/>
      <c r="J212" s="28" t="s">
        <v>274</v>
      </c>
      <c r="K212" s="15"/>
      <c r="L212" s="15"/>
      <c r="M212" s="15"/>
      <c r="N212" s="15"/>
      <c r="O212" s="15"/>
    </row>
    <row r="213" spans="1:15" ht="13.9" x14ac:dyDescent="0.25">
      <c r="A213" s="324">
        <v>42727.414189814815</v>
      </c>
      <c r="B213" s="51" t="s">
        <v>127</v>
      </c>
      <c r="C213" s="19"/>
      <c r="D213" s="57" t="s">
        <v>184</v>
      </c>
      <c r="E213" s="82">
        <v>226274</v>
      </c>
      <c r="F213" s="15"/>
      <c r="G213" s="98">
        <v>67.14</v>
      </c>
      <c r="H213" s="82">
        <v>2645610</v>
      </c>
      <c r="I213" s="15"/>
      <c r="J213" s="28" t="s">
        <v>274</v>
      </c>
      <c r="K213" s="15"/>
      <c r="L213" s="15"/>
      <c r="M213" s="15"/>
      <c r="N213" s="15"/>
      <c r="O213" s="15"/>
    </row>
    <row r="214" spans="1:15" ht="13.9" x14ac:dyDescent="0.25">
      <c r="A214" s="324">
        <v>42730.092800925922</v>
      </c>
      <c r="B214" s="29" t="s">
        <v>127</v>
      </c>
      <c r="C214" s="19"/>
      <c r="D214" s="66" t="s">
        <v>181</v>
      </c>
      <c r="E214" s="81">
        <v>351215</v>
      </c>
      <c r="F214" s="15"/>
      <c r="G214" s="88">
        <v>118</v>
      </c>
      <c r="H214" s="81">
        <v>2647512</v>
      </c>
      <c r="I214" s="15"/>
      <c r="J214" s="113" t="s">
        <v>278</v>
      </c>
    </row>
    <row r="215" spans="1:15" ht="13.9" x14ac:dyDescent="0.25">
      <c r="A215" s="324">
        <v>42730.136932870373</v>
      </c>
      <c r="B215" s="29" t="s">
        <v>127</v>
      </c>
      <c r="C215" s="19"/>
      <c r="D215" s="66" t="s">
        <v>181</v>
      </c>
      <c r="E215" s="81">
        <v>351215</v>
      </c>
      <c r="F215" s="15"/>
      <c r="G215" s="88">
        <v>95.37</v>
      </c>
      <c r="H215" s="81">
        <v>2648073</v>
      </c>
      <c r="I215" s="15"/>
      <c r="J215" s="113" t="s">
        <v>278</v>
      </c>
    </row>
    <row r="216" spans="1:15" ht="13.9" x14ac:dyDescent="0.25">
      <c r="A216" s="324">
        <v>42730.452604166669</v>
      </c>
      <c r="B216" s="29" t="s">
        <v>127</v>
      </c>
      <c r="C216" s="19"/>
      <c r="D216" s="66" t="s">
        <v>181</v>
      </c>
      <c r="E216" s="81">
        <v>351215</v>
      </c>
      <c r="F216" s="15"/>
      <c r="G216" s="88">
        <v>265.95999999999998</v>
      </c>
      <c r="H216" s="81">
        <v>2647424</v>
      </c>
      <c r="I216" s="15"/>
      <c r="J216" s="113" t="s">
        <v>278</v>
      </c>
    </row>
    <row r="217" spans="1:15" ht="13.9" x14ac:dyDescent="0.25">
      <c r="A217" s="324">
        <v>42731.098634259259</v>
      </c>
      <c r="B217" s="29" t="s">
        <v>127</v>
      </c>
      <c r="C217" s="19"/>
      <c r="D217" s="66" t="s">
        <v>181</v>
      </c>
      <c r="E217" s="81">
        <v>351215</v>
      </c>
      <c r="F217" s="15"/>
      <c r="G217" s="88">
        <v>53</v>
      </c>
      <c r="H217" s="81">
        <v>2653694</v>
      </c>
      <c r="I217" s="15"/>
      <c r="J217" s="113" t="s">
        <v>278</v>
      </c>
    </row>
    <row r="218" spans="1:15" ht="13.9" x14ac:dyDescent="0.25">
      <c r="A218" s="324">
        <v>42731.17869212963</v>
      </c>
      <c r="B218" s="29" t="s">
        <v>127</v>
      </c>
      <c r="C218" s="19"/>
      <c r="D218" s="66" t="s">
        <v>181</v>
      </c>
      <c r="E218" s="81">
        <v>351215</v>
      </c>
      <c r="F218" s="15"/>
      <c r="G218" s="88">
        <v>130.54</v>
      </c>
      <c r="H218" s="81">
        <v>2650602</v>
      </c>
      <c r="I218" s="15"/>
      <c r="J218" s="113" t="s">
        <v>278</v>
      </c>
    </row>
    <row r="219" spans="1:15" ht="13.9" x14ac:dyDescent="0.25">
      <c r="A219" s="324">
        <v>42731.219525462962</v>
      </c>
      <c r="B219" s="29" t="s">
        <v>127</v>
      </c>
      <c r="C219" s="19"/>
      <c r="D219" s="66" t="s">
        <v>181</v>
      </c>
      <c r="E219" s="81">
        <v>351215</v>
      </c>
      <c r="F219" s="15"/>
      <c r="G219" s="88">
        <v>71.010000000000005</v>
      </c>
      <c r="H219" s="81">
        <v>2650678</v>
      </c>
      <c r="I219" s="15"/>
      <c r="J219" s="113" t="s">
        <v>278</v>
      </c>
    </row>
    <row r="220" spans="1:15" ht="13.9" x14ac:dyDescent="0.25">
      <c r="A220" s="324">
        <v>42731.521238425928</v>
      </c>
      <c r="B220" s="29" t="s">
        <v>127</v>
      </c>
      <c r="C220" s="19"/>
      <c r="D220" s="66" t="s">
        <v>181</v>
      </c>
      <c r="E220" s="81">
        <v>351215</v>
      </c>
      <c r="F220" s="15"/>
      <c r="G220" s="88">
        <v>94</v>
      </c>
      <c r="H220" s="81">
        <v>2649195</v>
      </c>
      <c r="I220" s="15"/>
      <c r="J220" s="113" t="s">
        <v>278</v>
      </c>
    </row>
    <row r="221" spans="1:15" ht="13.9" x14ac:dyDescent="0.25">
      <c r="A221" s="324">
        <v>42732.048576388886</v>
      </c>
      <c r="B221" s="29" t="s">
        <v>127</v>
      </c>
      <c r="C221" s="19"/>
      <c r="D221" s="66" t="s">
        <v>181</v>
      </c>
      <c r="E221" s="81">
        <v>351215</v>
      </c>
      <c r="F221" s="15"/>
      <c r="G221" s="88">
        <v>106.1</v>
      </c>
      <c r="H221" s="81">
        <v>2654730</v>
      </c>
      <c r="I221" s="15"/>
      <c r="J221" s="113" t="s">
        <v>278</v>
      </c>
    </row>
    <row r="222" spans="1:15" ht="13.9" x14ac:dyDescent="0.25">
      <c r="A222" s="324">
        <v>42732.069409722222</v>
      </c>
      <c r="B222" s="29" t="s">
        <v>127</v>
      </c>
      <c r="C222" s="19"/>
      <c r="D222" s="66" t="s">
        <v>181</v>
      </c>
      <c r="E222" s="81">
        <v>351215</v>
      </c>
      <c r="F222" s="15"/>
      <c r="G222" s="88">
        <v>58.85</v>
      </c>
      <c r="H222" s="81">
        <v>2655037</v>
      </c>
      <c r="I222" s="15"/>
      <c r="J222" s="113" t="s">
        <v>278</v>
      </c>
    </row>
    <row r="223" spans="1:15" ht="13.9" x14ac:dyDescent="0.25">
      <c r="A223" s="324">
        <v>42732.508958333332</v>
      </c>
      <c r="B223" s="29" t="s">
        <v>127</v>
      </c>
      <c r="C223" s="19"/>
      <c r="D223" s="66" t="s">
        <v>181</v>
      </c>
      <c r="E223" s="81">
        <v>351215</v>
      </c>
      <c r="F223" s="15"/>
      <c r="G223" s="88">
        <v>22.95</v>
      </c>
      <c r="H223" s="81">
        <v>2656728</v>
      </c>
      <c r="I223" s="15"/>
      <c r="J223" s="113" t="s">
        <v>278</v>
      </c>
    </row>
    <row r="224" spans="1:15" ht="13.9" x14ac:dyDescent="0.25">
      <c r="A224" s="324">
        <v>42733.508009259262</v>
      </c>
      <c r="B224" s="29" t="s">
        <v>127</v>
      </c>
      <c r="C224" s="19"/>
      <c r="D224" s="66" t="s">
        <v>181</v>
      </c>
      <c r="E224" s="81">
        <v>351215</v>
      </c>
      <c r="F224" s="15"/>
      <c r="G224" s="88">
        <v>71.17</v>
      </c>
      <c r="H224" s="81">
        <v>2661388</v>
      </c>
      <c r="I224" s="15"/>
      <c r="J224" s="113" t="s">
        <v>278</v>
      </c>
    </row>
    <row r="225" spans="1:12" ht="13.9" x14ac:dyDescent="0.25">
      <c r="A225" s="213">
        <v>42737</v>
      </c>
      <c r="B225" s="29" t="s">
        <v>127</v>
      </c>
      <c r="C225" s="117"/>
      <c r="D225" s="60">
        <v>376270713997</v>
      </c>
      <c r="E225" s="83">
        <v>351215</v>
      </c>
      <c r="G225" s="100">
        <v>62</v>
      </c>
      <c r="H225" s="83">
        <v>2664558</v>
      </c>
      <c r="J225" s="113" t="s">
        <v>278</v>
      </c>
      <c r="K225" s="45"/>
      <c r="L225" s="45"/>
    </row>
    <row r="226" spans="1:12" ht="13.9" x14ac:dyDescent="0.25">
      <c r="A226" s="213">
        <v>42737</v>
      </c>
      <c r="B226" s="29" t="s">
        <v>127</v>
      </c>
      <c r="C226" s="117"/>
      <c r="D226" s="60">
        <v>376270713997</v>
      </c>
      <c r="E226" s="83">
        <v>351215</v>
      </c>
      <c r="G226" s="100">
        <v>46.04</v>
      </c>
      <c r="H226" s="83">
        <v>2665589</v>
      </c>
      <c r="J226" s="113" t="s">
        <v>278</v>
      </c>
      <c r="K226" s="45"/>
      <c r="L226" s="45"/>
    </row>
    <row r="227" spans="1:12" ht="13.9" x14ac:dyDescent="0.25">
      <c r="A227" s="213">
        <v>42737</v>
      </c>
      <c r="B227" s="29" t="s">
        <v>127</v>
      </c>
      <c r="C227" s="117"/>
      <c r="D227" s="60">
        <v>376270713997</v>
      </c>
      <c r="E227" s="83">
        <v>351215</v>
      </c>
      <c r="G227" s="100">
        <v>55</v>
      </c>
      <c r="H227" s="83">
        <v>2667909</v>
      </c>
      <c r="J227" s="113" t="s">
        <v>278</v>
      </c>
      <c r="K227" s="45"/>
      <c r="L227" s="45"/>
    </row>
    <row r="228" spans="1:12" ht="13.9" x14ac:dyDescent="0.25">
      <c r="A228" s="213">
        <v>42738</v>
      </c>
      <c r="B228" s="29" t="s">
        <v>127</v>
      </c>
      <c r="C228" s="117"/>
      <c r="D228" s="60">
        <v>376270713997</v>
      </c>
      <c r="E228" s="83">
        <v>351215</v>
      </c>
      <c r="G228" s="100">
        <v>39.33</v>
      </c>
      <c r="H228" s="83">
        <v>2672094</v>
      </c>
      <c r="J228" s="113" t="s">
        <v>278</v>
      </c>
      <c r="K228" s="45"/>
      <c r="L228" s="45"/>
    </row>
    <row r="229" spans="1:12" ht="13.9" x14ac:dyDescent="0.25">
      <c r="A229" s="213">
        <v>42738</v>
      </c>
      <c r="B229" s="29" t="s">
        <v>127</v>
      </c>
      <c r="C229" s="117"/>
      <c r="D229" s="60">
        <v>376270713997</v>
      </c>
      <c r="E229" s="83">
        <v>351215</v>
      </c>
      <c r="G229" s="100">
        <v>126.14</v>
      </c>
      <c r="H229" s="83">
        <v>2670807</v>
      </c>
      <c r="J229" s="113" t="s">
        <v>278</v>
      </c>
      <c r="K229" s="45"/>
      <c r="L229" s="45"/>
    </row>
    <row r="230" spans="1:12" ht="13.9" x14ac:dyDescent="0.25">
      <c r="A230" s="213">
        <v>42738</v>
      </c>
      <c r="B230" s="29" t="s">
        <v>127</v>
      </c>
      <c r="C230" s="117"/>
      <c r="D230" s="60">
        <v>376270713997</v>
      </c>
      <c r="E230" s="83">
        <v>351215</v>
      </c>
      <c r="G230" s="100">
        <v>62</v>
      </c>
      <c r="H230" s="83">
        <v>2666204</v>
      </c>
      <c r="J230" s="113" t="s">
        <v>278</v>
      </c>
      <c r="K230" s="45"/>
      <c r="L230" s="45"/>
    </row>
    <row r="231" spans="1:12" ht="13.9" x14ac:dyDescent="0.25">
      <c r="A231" s="213">
        <v>42738</v>
      </c>
      <c r="B231" s="29" t="s">
        <v>127</v>
      </c>
      <c r="C231" s="117"/>
      <c r="D231" s="60">
        <v>376270713997</v>
      </c>
      <c r="E231" s="83">
        <v>351215</v>
      </c>
      <c r="G231" s="100">
        <v>159</v>
      </c>
      <c r="H231" s="83">
        <v>2668811</v>
      </c>
      <c r="J231" s="113" t="s">
        <v>278</v>
      </c>
      <c r="K231" s="45"/>
      <c r="L231" s="45"/>
    </row>
    <row r="232" spans="1:12" ht="13.9" x14ac:dyDescent="0.25">
      <c r="A232" s="213">
        <v>42739</v>
      </c>
      <c r="B232" s="29" t="s">
        <v>127</v>
      </c>
      <c r="C232" s="117"/>
      <c r="D232" s="60">
        <v>376270713997</v>
      </c>
      <c r="E232" s="83">
        <v>351215</v>
      </c>
      <c r="G232" s="100">
        <v>104</v>
      </c>
      <c r="H232" s="83">
        <v>2663729</v>
      </c>
      <c r="J232" s="113" t="s">
        <v>278</v>
      </c>
      <c r="K232" s="45"/>
      <c r="L232" s="45"/>
    </row>
    <row r="233" spans="1:12" ht="13.9" x14ac:dyDescent="0.25">
      <c r="A233" s="213">
        <v>42739</v>
      </c>
      <c r="B233" s="29" t="s">
        <v>127</v>
      </c>
      <c r="C233" s="117"/>
      <c r="D233" s="60">
        <v>376270713997</v>
      </c>
      <c r="E233" s="83">
        <v>351215</v>
      </c>
      <c r="G233" s="100">
        <v>145.66999999999999</v>
      </c>
      <c r="H233" s="83">
        <v>2660297</v>
      </c>
      <c r="J233" s="113" t="s">
        <v>278</v>
      </c>
      <c r="K233" s="45"/>
      <c r="L233" s="45"/>
    </row>
    <row r="234" spans="1:12" ht="13.9" x14ac:dyDescent="0.25">
      <c r="A234" s="213">
        <v>42739</v>
      </c>
      <c r="B234" s="29" t="s">
        <v>127</v>
      </c>
      <c r="C234" s="117"/>
      <c r="D234" s="60">
        <v>376270713997</v>
      </c>
      <c r="E234" s="83">
        <v>351215</v>
      </c>
      <c r="G234" s="100">
        <v>72.87</v>
      </c>
      <c r="H234" s="83">
        <v>2674089</v>
      </c>
      <c r="J234" s="113" t="s">
        <v>278</v>
      </c>
      <c r="K234" s="45"/>
      <c r="L234" s="45"/>
    </row>
    <row r="235" spans="1:12" ht="13.9" x14ac:dyDescent="0.25">
      <c r="A235" s="213">
        <v>42739</v>
      </c>
      <c r="B235" s="29" t="s">
        <v>127</v>
      </c>
      <c r="C235" s="117"/>
      <c r="D235" s="60">
        <v>376270713997</v>
      </c>
      <c r="E235" s="83">
        <v>351215</v>
      </c>
      <c r="G235" s="100">
        <v>132.68</v>
      </c>
      <c r="H235" s="83">
        <v>2667169</v>
      </c>
      <c r="J235" s="113" t="s">
        <v>278</v>
      </c>
      <c r="K235" s="45"/>
      <c r="L235" s="45"/>
    </row>
    <row r="236" spans="1:12" ht="13.9" x14ac:dyDescent="0.25">
      <c r="A236" s="213">
        <v>42739</v>
      </c>
      <c r="B236" s="29" t="s">
        <v>127</v>
      </c>
      <c r="C236" s="117"/>
      <c r="D236" s="60">
        <v>376270713997</v>
      </c>
      <c r="E236" s="83">
        <v>351215</v>
      </c>
      <c r="G236" s="100">
        <v>98</v>
      </c>
      <c r="H236" s="83">
        <v>2675350</v>
      </c>
      <c r="J236" s="113" t="s">
        <v>278</v>
      </c>
      <c r="K236" s="45"/>
      <c r="L236" s="45"/>
    </row>
    <row r="237" spans="1:12" ht="13.9" x14ac:dyDescent="0.25">
      <c r="A237" s="213">
        <v>42739</v>
      </c>
      <c r="B237" s="29" t="s">
        <v>127</v>
      </c>
      <c r="C237" s="117"/>
      <c r="D237" s="60">
        <v>376270713997</v>
      </c>
      <c r="E237" s="83">
        <v>351215</v>
      </c>
      <c r="G237" s="100">
        <v>252.9</v>
      </c>
      <c r="H237" s="83">
        <v>2676527</v>
      </c>
      <c r="J237" s="113" t="s">
        <v>278</v>
      </c>
      <c r="K237" s="45"/>
      <c r="L237" s="45"/>
    </row>
    <row r="238" spans="1:12" ht="13.9" x14ac:dyDescent="0.25">
      <c r="A238" s="213">
        <v>42740</v>
      </c>
      <c r="B238" s="29" t="s">
        <v>127</v>
      </c>
      <c r="C238" s="117"/>
      <c r="D238" s="60">
        <v>376270713997</v>
      </c>
      <c r="E238" s="83">
        <v>351215</v>
      </c>
      <c r="G238" s="100">
        <v>24.91</v>
      </c>
      <c r="H238" s="83">
        <v>2664873</v>
      </c>
      <c r="J238" s="113" t="s">
        <v>278</v>
      </c>
      <c r="K238" s="45"/>
      <c r="L238" s="45"/>
    </row>
    <row r="239" spans="1:12" ht="13.9" x14ac:dyDescent="0.25">
      <c r="A239" s="213">
        <v>42740</v>
      </c>
      <c r="B239" s="29" t="s">
        <v>127</v>
      </c>
      <c r="C239" s="117"/>
      <c r="D239" s="60">
        <v>376270713997</v>
      </c>
      <c r="E239" s="83">
        <v>351215</v>
      </c>
      <c r="G239" s="100">
        <v>91.8</v>
      </c>
      <c r="H239" s="83">
        <v>2677431</v>
      </c>
      <c r="J239" s="113" t="s">
        <v>278</v>
      </c>
      <c r="K239" s="45"/>
      <c r="L239" s="45"/>
    </row>
    <row r="240" spans="1:12" ht="13.9" x14ac:dyDescent="0.25">
      <c r="A240" s="213">
        <v>42740</v>
      </c>
      <c r="B240" s="29" t="s">
        <v>127</v>
      </c>
      <c r="C240" s="117"/>
      <c r="D240" s="60">
        <v>376270713997</v>
      </c>
      <c r="E240" s="83">
        <v>351215</v>
      </c>
      <c r="G240" s="100">
        <v>123.05</v>
      </c>
      <c r="H240" s="83">
        <v>2677046</v>
      </c>
      <c r="J240" s="113" t="s">
        <v>278</v>
      </c>
      <c r="K240" s="45"/>
      <c r="L240" s="45"/>
    </row>
    <row r="241" spans="1:12" ht="13.9" x14ac:dyDescent="0.25">
      <c r="A241" s="213">
        <v>42740</v>
      </c>
      <c r="B241" s="29" t="s">
        <v>127</v>
      </c>
      <c r="C241" s="117"/>
      <c r="D241" s="60">
        <v>376270713997</v>
      </c>
      <c r="E241" s="83">
        <v>351215</v>
      </c>
      <c r="G241" s="100">
        <v>181.41</v>
      </c>
      <c r="H241" s="83">
        <v>26783852</v>
      </c>
      <c r="J241" s="113" t="s">
        <v>278</v>
      </c>
      <c r="K241" s="45"/>
      <c r="L241" s="45"/>
    </row>
    <row r="242" spans="1:12" ht="13.9" x14ac:dyDescent="0.25">
      <c r="A242" s="213">
        <v>42740</v>
      </c>
      <c r="B242" s="29" t="s">
        <v>127</v>
      </c>
      <c r="C242" s="117"/>
      <c r="D242" s="60">
        <v>376270713997</v>
      </c>
      <c r="E242" s="83">
        <v>351215</v>
      </c>
      <c r="G242" s="100">
        <v>88.95</v>
      </c>
      <c r="H242" s="83">
        <v>2669972</v>
      </c>
      <c r="J242" s="113" t="s">
        <v>278</v>
      </c>
      <c r="K242" s="45"/>
      <c r="L242" s="45"/>
    </row>
    <row r="243" spans="1:12" ht="13.9" x14ac:dyDescent="0.25">
      <c r="A243" s="213">
        <v>42741</v>
      </c>
      <c r="B243" s="29" t="s">
        <v>127</v>
      </c>
      <c r="C243" s="117"/>
      <c r="D243" s="60">
        <v>376270713997</v>
      </c>
      <c r="E243" s="83">
        <v>351215</v>
      </c>
      <c r="G243" s="100">
        <v>88</v>
      </c>
      <c r="H243" s="83">
        <v>2682557</v>
      </c>
      <c r="J243" s="113" t="s">
        <v>278</v>
      </c>
      <c r="K243" s="45"/>
      <c r="L243" s="45"/>
    </row>
    <row r="244" spans="1:12" ht="13.9" x14ac:dyDescent="0.25">
      <c r="A244" s="213">
        <v>42741</v>
      </c>
      <c r="B244" s="29" t="s">
        <v>127</v>
      </c>
      <c r="C244" s="117"/>
      <c r="D244" s="60">
        <v>376270713997</v>
      </c>
      <c r="E244" s="83">
        <v>351215</v>
      </c>
      <c r="G244" s="100">
        <v>56.71</v>
      </c>
      <c r="H244" s="83">
        <v>2680600</v>
      </c>
      <c r="J244" s="113" t="s">
        <v>278</v>
      </c>
      <c r="K244" s="45"/>
      <c r="L244" s="45"/>
    </row>
    <row r="245" spans="1:12" ht="13.9" x14ac:dyDescent="0.25">
      <c r="A245" s="213">
        <v>42741</v>
      </c>
      <c r="B245" s="29" t="s">
        <v>127</v>
      </c>
      <c r="C245" s="117"/>
      <c r="D245" s="60">
        <v>376270713997</v>
      </c>
      <c r="E245" s="83">
        <v>351215</v>
      </c>
      <c r="G245" s="100">
        <v>93.28</v>
      </c>
      <c r="H245" s="83">
        <v>2685460</v>
      </c>
      <c r="J245" s="113" t="s">
        <v>278</v>
      </c>
      <c r="K245" s="45"/>
      <c r="L245" s="45"/>
    </row>
    <row r="246" spans="1:12" ht="13.9" x14ac:dyDescent="0.25">
      <c r="A246" s="213">
        <v>42741</v>
      </c>
      <c r="B246" s="29" t="s">
        <v>127</v>
      </c>
      <c r="C246" s="117"/>
      <c r="D246" s="60">
        <v>376270713997</v>
      </c>
      <c r="E246" s="83">
        <v>351215</v>
      </c>
      <c r="G246" s="100">
        <v>114.48</v>
      </c>
      <c r="H246" s="83">
        <v>2682579</v>
      </c>
      <c r="J246" s="113" t="s">
        <v>278</v>
      </c>
      <c r="K246" s="45"/>
      <c r="L246" s="45"/>
    </row>
    <row r="247" spans="1:12" ht="13.9" x14ac:dyDescent="0.25">
      <c r="A247" s="213">
        <v>42741</v>
      </c>
      <c r="B247" s="29" t="s">
        <v>127</v>
      </c>
      <c r="C247" s="117"/>
      <c r="D247" s="60">
        <v>376270713997</v>
      </c>
      <c r="E247" s="83">
        <v>351215</v>
      </c>
      <c r="G247" s="100">
        <v>114.48</v>
      </c>
      <c r="H247" s="83">
        <v>2682573</v>
      </c>
      <c r="J247" s="113" t="s">
        <v>278</v>
      </c>
      <c r="K247" s="45"/>
      <c r="L247" s="45"/>
    </row>
    <row r="248" spans="1:12" ht="13.9" x14ac:dyDescent="0.25">
      <c r="A248" s="213">
        <v>42741</v>
      </c>
      <c r="B248" s="29" t="s">
        <v>127</v>
      </c>
      <c r="C248" s="117"/>
      <c r="D248" s="60">
        <v>376270713997</v>
      </c>
      <c r="E248" s="83">
        <v>351215</v>
      </c>
      <c r="G248" s="100">
        <v>61.48</v>
      </c>
      <c r="H248" s="83">
        <v>2678587</v>
      </c>
      <c r="J248" s="113" t="s">
        <v>278</v>
      </c>
      <c r="K248" s="45"/>
      <c r="L248" s="45"/>
    </row>
    <row r="249" spans="1:12" ht="13.9" x14ac:dyDescent="0.25">
      <c r="A249" s="213">
        <v>42743</v>
      </c>
      <c r="B249" s="117" t="s">
        <v>127</v>
      </c>
      <c r="C249" s="117"/>
      <c r="D249" s="60">
        <v>376270713997</v>
      </c>
      <c r="E249" s="111">
        <v>351215</v>
      </c>
      <c r="G249" s="97">
        <v>53</v>
      </c>
      <c r="H249" s="113">
        <v>2686123</v>
      </c>
      <c r="J249" s="113" t="s">
        <v>279</v>
      </c>
    </row>
    <row r="250" spans="1:12" ht="13.9" x14ac:dyDescent="0.25">
      <c r="A250" s="213">
        <v>42744</v>
      </c>
      <c r="B250" s="117" t="s">
        <v>127</v>
      </c>
      <c r="C250" s="117"/>
      <c r="D250" s="60">
        <v>376270713997</v>
      </c>
      <c r="E250" s="111">
        <v>351215</v>
      </c>
      <c r="G250" s="97">
        <v>88</v>
      </c>
      <c r="H250" s="113">
        <v>2687429</v>
      </c>
      <c r="J250" s="113" t="s">
        <v>279</v>
      </c>
    </row>
    <row r="251" spans="1:12" ht="13.9" x14ac:dyDescent="0.25">
      <c r="A251" s="213">
        <v>42744</v>
      </c>
      <c r="B251" s="117" t="s">
        <v>127</v>
      </c>
      <c r="C251" s="117"/>
      <c r="D251" s="60">
        <v>376270713997</v>
      </c>
      <c r="E251" s="111">
        <v>351215</v>
      </c>
      <c r="G251" s="97">
        <v>52.68</v>
      </c>
      <c r="H251" s="113">
        <v>2690849</v>
      </c>
      <c r="J251" s="113" t="s">
        <v>279</v>
      </c>
    </row>
    <row r="252" spans="1:12" ht="13.9" x14ac:dyDescent="0.25">
      <c r="A252" s="213">
        <v>42744</v>
      </c>
      <c r="B252" s="117" t="s">
        <v>127</v>
      </c>
      <c r="C252" s="117"/>
      <c r="D252" s="60">
        <v>376270713997</v>
      </c>
      <c r="E252" s="111">
        <v>351215</v>
      </c>
      <c r="G252" s="97">
        <v>190</v>
      </c>
      <c r="H252" s="113">
        <v>2688959</v>
      </c>
      <c r="J252" s="113" t="s">
        <v>279</v>
      </c>
    </row>
    <row r="253" spans="1:12" ht="13.9" x14ac:dyDescent="0.25">
      <c r="A253" s="213">
        <v>42744</v>
      </c>
      <c r="B253" s="117" t="s">
        <v>127</v>
      </c>
      <c r="C253" s="117"/>
      <c r="D253" s="60">
        <v>376270713997</v>
      </c>
      <c r="E253" s="111">
        <v>351215</v>
      </c>
      <c r="G253" s="97">
        <v>62</v>
      </c>
      <c r="H253" s="113">
        <v>2690446</v>
      </c>
      <c r="J253" s="113" t="s">
        <v>279</v>
      </c>
    </row>
    <row r="254" spans="1:12" ht="13.9" x14ac:dyDescent="0.25">
      <c r="A254" s="213">
        <v>42744</v>
      </c>
      <c r="B254" s="117" t="s">
        <v>127</v>
      </c>
      <c r="C254" s="117"/>
      <c r="D254" s="60">
        <v>376270713997</v>
      </c>
      <c r="E254" s="111">
        <v>351215</v>
      </c>
      <c r="G254" s="97">
        <v>253.11</v>
      </c>
      <c r="H254" s="113">
        <v>2691312</v>
      </c>
      <c r="J254" s="113" t="s">
        <v>279</v>
      </c>
    </row>
    <row r="255" spans="1:12" ht="13.9" x14ac:dyDescent="0.25">
      <c r="A255" s="213">
        <v>42744</v>
      </c>
      <c r="B255" s="117" t="s">
        <v>127</v>
      </c>
      <c r="C255" s="117"/>
      <c r="D255" s="60">
        <v>376270713997</v>
      </c>
      <c r="E255" s="111">
        <v>351215</v>
      </c>
      <c r="G255" s="97">
        <v>95.26</v>
      </c>
      <c r="H255" s="113">
        <v>2682213</v>
      </c>
      <c r="J255" s="113" t="s">
        <v>279</v>
      </c>
    </row>
    <row r="256" spans="1:12" ht="13.9" x14ac:dyDescent="0.25">
      <c r="A256" s="213">
        <v>42744</v>
      </c>
      <c r="B256" s="117" t="s">
        <v>127</v>
      </c>
      <c r="C256" s="117"/>
      <c r="D256" s="60">
        <v>376270713997</v>
      </c>
      <c r="E256" s="111">
        <v>351215</v>
      </c>
      <c r="G256" s="97">
        <v>224.2</v>
      </c>
      <c r="H256" s="113">
        <v>2687314</v>
      </c>
      <c r="J256" s="113" t="s">
        <v>279</v>
      </c>
    </row>
    <row r="257" spans="1:10" ht="15.95" customHeight="1" x14ac:dyDescent="0.25">
      <c r="A257" s="213">
        <v>42745</v>
      </c>
      <c r="B257" s="117" t="s">
        <v>127</v>
      </c>
      <c r="C257" s="117"/>
      <c r="D257" s="60">
        <v>376270713997</v>
      </c>
      <c r="E257" s="111">
        <v>351215</v>
      </c>
      <c r="G257" s="97">
        <v>106</v>
      </c>
      <c r="H257" s="113">
        <v>2688168</v>
      </c>
      <c r="J257" s="113" t="s">
        <v>279</v>
      </c>
    </row>
    <row r="258" spans="1:10" ht="13.9" x14ac:dyDescent="0.25">
      <c r="A258" s="213">
        <v>42746</v>
      </c>
      <c r="B258" s="117" t="s">
        <v>127</v>
      </c>
      <c r="C258" s="117"/>
      <c r="D258" s="60">
        <v>376270713997</v>
      </c>
      <c r="E258" s="111">
        <v>351215</v>
      </c>
      <c r="G258" s="97">
        <v>118</v>
      </c>
      <c r="H258" s="113">
        <v>2693959</v>
      </c>
      <c r="J258" s="113" t="s">
        <v>279</v>
      </c>
    </row>
    <row r="259" spans="1:10" ht="13.9" x14ac:dyDescent="0.25">
      <c r="A259" s="213">
        <v>42746</v>
      </c>
      <c r="B259" s="117" t="s">
        <v>127</v>
      </c>
      <c r="C259" s="117"/>
      <c r="D259" s="60">
        <v>376270713997</v>
      </c>
      <c r="E259" s="111">
        <v>351215</v>
      </c>
      <c r="G259" s="97">
        <v>57.5</v>
      </c>
      <c r="H259" s="113">
        <v>2691874</v>
      </c>
      <c r="J259" s="113" t="s">
        <v>279</v>
      </c>
    </row>
    <row r="260" spans="1:10" ht="13.9" x14ac:dyDescent="0.25">
      <c r="A260" s="213">
        <v>42746</v>
      </c>
      <c r="B260" s="117" t="s">
        <v>127</v>
      </c>
      <c r="C260" s="117"/>
      <c r="D260" s="60">
        <v>376270713997</v>
      </c>
      <c r="E260" s="111">
        <v>351215</v>
      </c>
      <c r="G260" s="97">
        <v>53</v>
      </c>
      <c r="H260" s="113">
        <v>2694714</v>
      </c>
      <c r="J260" s="113" t="s">
        <v>279</v>
      </c>
    </row>
    <row r="261" spans="1:10" ht="13.9" x14ac:dyDescent="0.25">
      <c r="A261" s="213">
        <v>42747</v>
      </c>
      <c r="B261" s="117" t="s">
        <v>127</v>
      </c>
      <c r="C261" s="117"/>
      <c r="D261" s="60">
        <v>376270713997</v>
      </c>
      <c r="E261" s="111">
        <v>351215</v>
      </c>
      <c r="G261" s="97">
        <v>430.62</v>
      </c>
      <c r="H261" s="113">
        <v>2697476</v>
      </c>
      <c r="J261" s="113" t="s">
        <v>279</v>
      </c>
    </row>
    <row r="262" spans="1:10" ht="13.9" x14ac:dyDescent="0.25">
      <c r="A262" s="213">
        <v>42748</v>
      </c>
      <c r="B262" s="117" t="s">
        <v>127</v>
      </c>
      <c r="C262" s="117"/>
      <c r="D262" s="60">
        <v>376270713997</v>
      </c>
      <c r="E262" s="111">
        <v>351215</v>
      </c>
      <c r="G262" s="97">
        <v>153.13</v>
      </c>
      <c r="H262" s="113">
        <v>2701920</v>
      </c>
      <c r="J262" s="113" t="s">
        <v>279</v>
      </c>
    </row>
    <row r="263" spans="1:10" ht="13.9" x14ac:dyDescent="0.25">
      <c r="A263" s="213">
        <v>42748</v>
      </c>
      <c r="B263" s="117" t="s">
        <v>127</v>
      </c>
      <c r="C263" s="117"/>
      <c r="D263" s="60">
        <v>376270713997</v>
      </c>
      <c r="E263" s="111">
        <v>351215</v>
      </c>
      <c r="G263" s="97">
        <v>56.64</v>
      </c>
      <c r="H263" s="113">
        <v>2706706</v>
      </c>
      <c r="J263" s="113" t="s">
        <v>279</v>
      </c>
    </row>
    <row r="264" spans="1:10" ht="13.9" x14ac:dyDescent="0.25">
      <c r="A264" s="213">
        <v>42748</v>
      </c>
      <c r="B264" s="117" t="s">
        <v>127</v>
      </c>
      <c r="C264" s="117"/>
      <c r="D264" s="60">
        <v>376270713997</v>
      </c>
      <c r="E264" s="111">
        <v>351215</v>
      </c>
      <c r="G264" s="97">
        <v>96</v>
      </c>
      <c r="H264" s="113">
        <v>2696700</v>
      </c>
      <c r="J264" s="113" t="s">
        <v>279</v>
      </c>
    </row>
    <row r="265" spans="1:10" ht="13.9" x14ac:dyDescent="0.25">
      <c r="A265" s="213">
        <v>42748</v>
      </c>
      <c r="B265" s="117" t="s">
        <v>127</v>
      </c>
      <c r="C265" s="117"/>
      <c r="D265" s="60">
        <v>376270713997</v>
      </c>
      <c r="E265" s="111">
        <v>351215</v>
      </c>
      <c r="G265" s="97">
        <v>53.34</v>
      </c>
      <c r="H265" s="113">
        <v>2705005</v>
      </c>
      <c r="J265" s="113" t="s">
        <v>279</v>
      </c>
    </row>
    <row r="266" spans="1:10" ht="13.9" x14ac:dyDescent="0.25">
      <c r="A266" s="213">
        <v>42752</v>
      </c>
      <c r="B266" s="117" t="s">
        <v>127</v>
      </c>
      <c r="C266" s="117"/>
      <c r="D266" s="60">
        <v>376270713997</v>
      </c>
      <c r="E266" s="113">
        <v>351215</v>
      </c>
      <c r="G266" s="97">
        <v>159.5</v>
      </c>
      <c r="H266" s="113">
        <v>2712166</v>
      </c>
      <c r="J266" s="113" t="s">
        <v>273</v>
      </c>
    </row>
    <row r="267" spans="1:10" ht="13.9" x14ac:dyDescent="0.25">
      <c r="A267" s="213">
        <v>42752</v>
      </c>
      <c r="B267" s="117" t="s">
        <v>127</v>
      </c>
      <c r="C267" s="117"/>
      <c r="D267" s="60">
        <v>376270713997</v>
      </c>
      <c r="E267" s="113">
        <v>351215</v>
      </c>
      <c r="G267" s="97">
        <v>50.78</v>
      </c>
      <c r="H267" s="113">
        <v>2717651</v>
      </c>
      <c r="J267" s="113" t="s">
        <v>273</v>
      </c>
    </row>
    <row r="268" spans="1:10" ht="13.9" x14ac:dyDescent="0.25">
      <c r="A268" s="213">
        <v>42752</v>
      </c>
      <c r="B268" s="117" t="s">
        <v>127</v>
      </c>
      <c r="C268" s="117"/>
      <c r="D268" s="60">
        <v>376270713997</v>
      </c>
      <c r="E268" s="113">
        <v>351215</v>
      </c>
      <c r="G268" s="97">
        <v>51.36</v>
      </c>
      <c r="H268" s="113">
        <v>2715685</v>
      </c>
      <c r="J268" s="113" t="s">
        <v>273</v>
      </c>
    </row>
    <row r="269" spans="1:10" ht="13.9" x14ac:dyDescent="0.25">
      <c r="A269" s="213">
        <v>42752</v>
      </c>
      <c r="B269" s="117" t="s">
        <v>127</v>
      </c>
      <c r="C269" s="117"/>
      <c r="D269" s="60">
        <v>376270713997</v>
      </c>
      <c r="E269" s="113">
        <v>351215</v>
      </c>
      <c r="G269" s="97">
        <v>219.6</v>
      </c>
      <c r="H269" s="113">
        <v>2715499</v>
      </c>
      <c r="J269" s="113" t="s">
        <v>273</v>
      </c>
    </row>
    <row r="270" spans="1:10" ht="13.9" x14ac:dyDescent="0.25">
      <c r="A270" s="213">
        <v>42752</v>
      </c>
      <c r="B270" s="117" t="s">
        <v>127</v>
      </c>
      <c r="C270" s="117"/>
      <c r="D270" s="60">
        <v>376270713997</v>
      </c>
      <c r="E270" s="113">
        <v>351215</v>
      </c>
      <c r="G270" s="97">
        <v>68.83</v>
      </c>
      <c r="H270" s="113">
        <v>2713654</v>
      </c>
      <c r="J270" s="113" t="s">
        <v>273</v>
      </c>
    </row>
    <row r="271" spans="1:10" ht="13.9" x14ac:dyDescent="0.25">
      <c r="A271" s="213">
        <v>42752</v>
      </c>
      <c r="B271" s="117" t="s">
        <v>127</v>
      </c>
      <c r="C271" s="117"/>
      <c r="D271" s="60">
        <v>376270713997</v>
      </c>
      <c r="E271" s="113">
        <v>351215</v>
      </c>
      <c r="G271" s="97">
        <v>109.8</v>
      </c>
      <c r="H271" s="113">
        <v>2712731</v>
      </c>
      <c r="J271" s="113" t="s">
        <v>273</v>
      </c>
    </row>
    <row r="272" spans="1:10" ht="13.9" x14ac:dyDescent="0.25">
      <c r="A272" s="213">
        <v>42753</v>
      </c>
      <c r="B272" s="117" t="s">
        <v>127</v>
      </c>
      <c r="C272" s="117"/>
      <c r="D272" s="60">
        <v>376270713997</v>
      </c>
      <c r="E272" s="113">
        <v>351215</v>
      </c>
      <c r="G272" s="97">
        <v>121.24</v>
      </c>
      <c r="H272" s="113">
        <v>2721885</v>
      </c>
      <c r="J272" s="113" t="s">
        <v>273</v>
      </c>
    </row>
    <row r="273" spans="1:10" ht="13.9" x14ac:dyDescent="0.25">
      <c r="A273" s="213">
        <v>42753</v>
      </c>
      <c r="B273" s="117" t="s">
        <v>127</v>
      </c>
      <c r="C273" s="117"/>
      <c r="D273" s="60">
        <v>376270713997</v>
      </c>
      <c r="E273" s="113">
        <v>351215</v>
      </c>
      <c r="G273" s="97">
        <v>57.9</v>
      </c>
      <c r="H273" s="113">
        <v>2720046</v>
      </c>
      <c r="J273" s="113" t="s">
        <v>273</v>
      </c>
    </row>
    <row r="274" spans="1:10" ht="13.9" x14ac:dyDescent="0.25">
      <c r="A274" s="213">
        <v>42753</v>
      </c>
      <c r="B274" s="117" t="s">
        <v>127</v>
      </c>
      <c r="C274" s="117"/>
      <c r="D274" s="60">
        <v>376270713997</v>
      </c>
      <c r="E274" s="113">
        <v>351215</v>
      </c>
      <c r="G274" s="97">
        <v>65.88</v>
      </c>
      <c r="H274" s="113">
        <v>2721461</v>
      </c>
      <c r="J274" s="113" t="s">
        <v>273</v>
      </c>
    </row>
    <row r="275" spans="1:10" ht="13.9" x14ac:dyDescent="0.25">
      <c r="A275" s="213">
        <v>42753</v>
      </c>
      <c r="B275" s="117" t="s">
        <v>127</v>
      </c>
      <c r="C275" s="117"/>
      <c r="D275" s="60">
        <v>376270713997</v>
      </c>
      <c r="E275" s="113">
        <v>351215</v>
      </c>
      <c r="G275" s="97">
        <v>97</v>
      </c>
      <c r="H275" s="113">
        <v>2719245</v>
      </c>
      <c r="J275" s="113" t="s">
        <v>273</v>
      </c>
    </row>
    <row r="276" spans="1:10" ht="13.9" x14ac:dyDescent="0.25">
      <c r="A276" s="213">
        <v>42753</v>
      </c>
      <c r="B276" s="117" t="s">
        <v>127</v>
      </c>
      <c r="C276" s="117"/>
      <c r="D276" s="60">
        <v>376270713997</v>
      </c>
      <c r="E276" s="113">
        <v>351215</v>
      </c>
      <c r="G276" s="97">
        <v>68.209999999999994</v>
      </c>
      <c r="H276" s="113">
        <v>2712799</v>
      </c>
      <c r="J276" s="113" t="s">
        <v>273</v>
      </c>
    </row>
    <row r="277" spans="1:10" ht="13.9" x14ac:dyDescent="0.25">
      <c r="A277" s="213">
        <v>42754</v>
      </c>
      <c r="B277" s="117" t="s">
        <v>127</v>
      </c>
      <c r="C277" s="117"/>
      <c r="D277" s="60">
        <v>376270713997</v>
      </c>
      <c r="E277" s="113">
        <v>351215</v>
      </c>
      <c r="G277" s="97">
        <v>74</v>
      </c>
      <c r="H277" s="113">
        <v>2715647</v>
      </c>
      <c r="J277" s="113" t="s">
        <v>273</v>
      </c>
    </row>
    <row r="278" spans="1:10" ht="13.9" x14ac:dyDescent="0.25">
      <c r="A278" s="213">
        <v>42754</v>
      </c>
      <c r="B278" s="117" t="s">
        <v>127</v>
      </c>
      <c r="C278" s="117"/>
      <c r="D278" s="60">
        <v>376270713997</v>
      </c>
      <c r="E278" s="113">
        <v>351215</v>
      </c>
      <c r="G278" s="97">
        <v>159</v>
      </c>
      <c r="H278" s="113">
        <v>2723314</v>
      </c>
      <c r="J278" s="113" t="s">
        <v>273</v>
      </c>
    </row>
    <row r="279" spans="1:10" ht="13.9" x14ac:dyDescent="0.25">
      <c r="A279" s="213">
        <v>42754</v>
      </c>
      <c r="B279" s="117" t="s">
        <v>127</v>
      </c>
      <c r="C279" s="117"/>
      <c r="D279" s="60">
        <v>376270713997</v>
      </c>
      <c r="E279" s="113">
        <v>351215</v>
      </c>
      <c r="G279" s="97">
        <v>53</v>
      </c>
      <c r="H279" s="113">
        <v>2722857</v>
      </c>
      <c r="J279" s="113" t="s">
        <v>273</v>
      </c>
    </row>
    <row r="280" spans="1:10" ht="13.9" x14ac:dyDescent="0.25">
      <c r="A280" s="213">
        <v>42754</v>
      </c>
      <c r="B280" s="117" t="s">
        <v>127</v>
      </c>
      <c r="C280" s="117"/>
      <c r="D280" s="60">
        <v>376270713997</v>
      </c>
      <c r="E280" s="113">
        <v>351215</v>
      </c>
      <c r="G280" s="97">
        <v>250.65</v>
      </c>
      <c r="H280" s="113">
        <v>2722360</v>
      </c>
      <c r="J280" s="113" t="s">
        <v>273</v>
      </c>
    </row>
    <row r="281" spans="1:10" ht="13.9" x14ac:dyDescent="0.25">
      <c r="A281" s="213">
        <v>42754</v>
      </c>
      <c r="B281" s="117" t="s">
        <v>127</v>
      </c>
      <c r="C281" s="117"/>
      <c r="D281" s="60">
        <v>376270713997</v>
      </c>
      <c r="E281" s="113">
        <v>351215</v>
      </c>
      <c r="G281" s="97">
        <v>440</v>
      </c>
      <c r="H281" s="113">
        <v>2722469</v>
      </c>
      <c r="J281" s="113" t="s">
        <v>273</v>
      </c>
    </row>
    <row r="282" spans="1:10" ht="13.9" x14ac:dyDescent="0.25">
      <c r="A282" s="213">
        <v>42755</v>
      </c>
      <c r="B282" s="117" t="s">
        <v>127</v>
      </c>
      <c r="C282" s="117"/>
      <c r="D282" s="60">
        <v>376270713997</v>
      </c>
      <c r="E282" s="113">
        <v>351215</v>
      </c>
      <c r="G282" s="97">
        <v>58</v>
      </c>
      <c r="H282" s="113">
        <v>2725911</v>
      </c>
      <c r="J282" s="113" t="s">
        <v>273</v>
      </c>
    </row>
    <row r="283" spans="1:10" ht="13.9" x14ac:dyDescent="0.25">
      <c r="A283" s="213">
        <v>42755</v>
      </c>
      <c r="B283" s="117" t="s">
        <v>127</v>
      </c>
      <c r="C283" s="117"/>
      <c r="D283" s="60">
        <v>376270713997</v>
      </c>
      <c r="E283" s="113">
        <v>351215</v>
      </c>
      <c r="G283" s="97">
        <v>212.4</v>
      </c>
      <c r="H283" s="113">
        <v>2726114</v>
      </c>
      <c r="J283" s="113" t="s">
        <v>273</v>
      </c>
    </row>
    <row r="284" spans="1:10" ht="13.9" x14ac:dyDescent="0.25">
      <c r="A284" s="213">
        <v>42757</v>
      </c>
      <c r="B284" s="117" t="s">
        <v>127</v>
      </c>
      <c r="D284" s="60">
        <v>376270713997</v>
      </c>
      <c r="E284" s="111">
        <v>351215</v>
      </c>
      <c r="G284" s="97">
        <v>88</v>
      </c>
      <c r="H284" s="113">
        <v>2731373</v>
      </c>
      <c r="J284" s="113" t="s">
        <v>273</v>
      </c>
    </row>
    <row r="285" spans="1:10" ht="13.9" x14ac:dyDescent="0.25">
      <c r="A285" s="213">
        <v>42757</v>
      </c>
      <c r="B285" s="117" t="s">
        <v>127</v>
      </c>
      <c r="D285" s="60">
        <v>376270713997</v>
      </c>
      <c r="E285" s="111">
        <v>351215</v>
      </c>
      <c r="G285" s="97">
        <v>98</v>
      </c>
      <c r="H285" s="113">
        <v>2731203</v>
      </c>
      <c r="J285" s="113" t="s">
        <v>273</v>
      </c>
    </row>
    <row r="286" spans="1:10" ht="13.9" x14ac:dyDescent="0.25">
      <c r="A286" s="213">
        <v>42757</v>
      </c>
      <c r="B286" s="117" t="s">
        <v>127</v>
      </c>
      <c r="D286" s="60">
        <v>376270713997</v>
      </c>
      <c r="E286" s="111">
        <v>351215</v>
      </c>
      <c r="G286" s="97">
        <v>123.77</v>
      </c>
      <c r="H286" s="113">
        <v>2730448</v>
      </c>
      <c r="J286" s="113" t="s">
        <v>273</v>
      </c>
    </row>
    <row r="287" spans="1:10" ht="13.9" x14ac:dyDescent="0.25">
      <c r="A287" s="213">
        <v>42757</v>
      </c>
      <c r="B287" s="117" t="s">
        <v>127</v>
      </c>
      <c r="D287" s="60">
        <v>376270713997</v>
      </c>
      <c r="E287" s="111">
        <v>351215</v>
      </c>
      <c r="G287" s="97">
        <v>119</v>
      </c>
      <c r="H287" s="113">
        <v>2733535</v>
      </c>
      <c r="J287" s="113" t="s">
        <v>273</v>
      </c>
    </row>
    <row r="288" spans="1:10" ht="13.9" x14ac:dyDescent="0.25">
      <c r="A288" s="213">
        <v>42757</v>
      </c>
      <c r="B288" s="117" t="s">
        <v>127</v>
      </c>
      <c r="D288" s="60">
        <v>376270713997</v>
      </c>
      <c r="E288" s="111">
        <v>351215</v>
      </c>
      <c r="G288" s="97">
        <v>179.29</v>
      </c>
      <c r="H288" s="113">
        <v>2734865</v>
      </c>
      <c r="J288" s="113" t="s">
        <v>273</v>
      </c>
    </row>
    <row r="289" spans="1:10" ht="13.9" x14ac:dyDescent="0.25">
      <c r="A289" s="213">
        <v>42757</v>
      </c>
      <c r="B289" s="117" t="s">
        <v>127</v>
      </c>
      <c r="D289" s="60">
        <v>376270713997</v>
      </c>
      <c r="E289" s="111">
        <v>351215</v>
      </c>
      <c r="G289" s="97">
        <v>127</v>
      </c>
      <c r="H289" s="113">
        <v>2735095</v>
      </c>
      <c r="J289" s="113" t="s">
        <v>273</v>
      </c>
    </row>
    <row r="290" spans="1:10" ht="13.9" x14ac:dyDescent="0.25">
      <c r="A290" s="213">
        <v>42757</v>
      </c>
      <c r="B290" s="117" t="s">
        <v>127</v>
      </c>
      <c r="D290" s="60">
        <v>376270713997</v>
      </c>
      <c r="E290" s="111">
        <v>351215</v>
      </c>
      <c r="G290" s="97">
        <v>175</v>
      </c>
      <c r="H290" s="113">
        <v>2730555</v>
      </c>
      <c r="J290" s="113" t="s">
        <v>273</v>
      </c>
    </row>
    <row r="291" spans="1:10" ht="13.9" x14ac:dyDescent="0.25">
      <c r="A291" s="213">
        <v>42757</v>
      </c>
      <c r="B291" s="117" t="s">
        <v>127</v>
      </c>
      <c r="D291" s="60">
        <v>376270713997</v>
      </c>
      <c r="E291" s="111">
        <v>351215</v>
      </c>
      <c r="G291" s="97">
        <v>263.52</v>
      </c>
      <c r="H291" s="113">
        <v>2731915</v>
      </c>
      <c r="J291" s="113" t="s">
        <v>273</v>
      </c>
    </row>
    <row r="292" spans="1:10" ht="13.9" x14ac:dyDescent="0.25">
      <c r="A292" s="213">
        <v>42757</v>
      </c>
      <c r="B292" s="117" t="s">
        <v>127</v>
      </c>
      <c r="D292" s="60">
        <v>376270713997</v>
      </c>
      <c r="E292" s="111">
        <v>351215</v>
      </c>
      <c r="G292" s="97">
        <v>75.98</v>
      </c>
      <c r="H292" s="113">
        <v>2727678</v>
      </c>
      <c r="J292" s="113" t="s">
        <v>273</v>
      </c>
    </row>
    <row r="293" spans="1:10" ht="13.9" x14ac:dyDescent="0.25">
      <c r="A293" s="213">
        <v>42757</v>
      </c>
      <c r="B293" s="117" t="s">
        <v>127</v>
      </c>
      <c r="D293" s="60">
        <v>376270713997</v>
      </c>
      <c r="E293" s="111">
        <v>351215</v>
      </c>
      <c r="G293" s="97">
        <v>56.7</v>
      </c>
      <c r="H293" s="113">
        <v>2739428</v>
      </c>
      <c r="J293" s="113" t="s">
        <v>273</v>
      </c>
    </row>
    <row r="294" spans="1:10" ht="13.9" x14ac:dyDescent="0.25">
      <c r="A294" s="213">
        <v>42757</v>
      </c>
      <c r="B294" s="117" t="s">
        <v>127</v>
      </c>
      <c r="D294" s="60">
        <v>376270713997</v>
      </c>
      <c r="E294" s="111">
        <v>351215</v>
      </c>
      <c r="G294" s="97">
        <v>88</v>
      </c>
      <c r="H294" s="113">
        <v>2739073</v>
      </c>
      <c r="J294" s="113" t="s">
        <v>273</v>
      </c>
    </row>
    <row r="295" spans="1:10" ht="13.9" x14ac:dyDescent="0.25">
      <c r="A295" s="213">
        <v>42757</v>
      </c>
      <c r="B295" s="117" t="s">
        <v>127</v>
      </c>
      <c r="D295" s="60">
        <v>376270713997</v>
      </c>
      <c r="E295" s="111">
        <v>351215</v>
      </c>
      <c r="G295" s="97">
        <v>59.15</v>
      </c>
      <c r="H295" s="113">
        <v>2740488</v>
      </c>
      <c r="J295" s="113" t="s">
        <v>273</v>
      </c>
    </row>
    <row r="296" spans="1:10" ht="13.9" x14ac:dyDescent="0.25">
      <c r="A296" s="213">
        <v>42757</v>
      </c>
      <c r="B296" s="117" t="s">
        <v>127</v>
      </c>
      <c r="D296" s="60">
        <v>376270713997</v>
      </c>
      <c r="E296" s="111">
        <v>351215</v>
      </c>
      <c r="G296" s="97">
        <v>88</v>
      </c>
      <c r="H296" s="113">
        <v>2746333</v>
      </c>
      <c r="J296" s="113" t="s">
        <v>273</v>
      </c>
    </row>
    <row r="297" spans="1:10" ht="13.9" x14ac:dyDescent="0.25">
      <c r="A297" s="213">
        <v>42757</v>
      </c>
      <c r="B297" s="117" t="s">
        <v>127</v>
      </c>
      <c r="D297" s="60">
        <v>376270713997</v>
      </c>
      <c r="E297" s="111">
        <v>351215</v>
      </c>
      <c r="G297" s="97">
        <v>30</v>
      </c>
      <c r="H297" s="113">
        <v>2746916</v>
      </c>
      <c r="J297" s="113" t="s">
        <v>273</v>
      </c>
    </row>
    <row r="298" spans="1:10" ht="13.9" x14ac:dyDescent="0.25">
      <c r="A298" s="213">
        <v>42757</v>
      </c>
      <c r="B298" s="117" t="s">
        <v>127</v>
      </c>
      <c r="D298" s="60">
        <v>376270713997</v>
      </c>
      <c r="E298" s="111">
        <v>351215</v>
      </c>
      <c r="G298" s="101">
        <v>58.73</v>
      </c>
      <c r="H298" s="113">
        <v>2746815</v>
      </c>
      <c r="J298" s="113" t="s">
        <v>273</v>
      </c>
    </row>
    <row r="299" spans="1:10" ht="13.9" x14ac:dyDescent="0.25">
      <c r="A299" s="213">
        <v>42757</v>
      </c>
      <c r="B299" s="117" t="s">
        <v>127</v>
      </c>
      <c r="D299" s="60">
        <v>376270713997</v>
      </c>
      <c r="E299" s="111">
        <v>351215</v>
      </c>
      <c r="G299" s="101">
        <v>88</v>
      </c>
      <c r="H299" s="113">
        <v>2743711</v>
      </c>
      <c r="J299" s="113" t="s">
        <v>273</v>
      </c>
    </row>
    <row r="300" spans="1:10" ht="13.9" x14ac:dyDescent="0.25">
      <c r="A300" s="213">
        <v>42762</v>
      </c>
      <c r="B300" s="117" t="s">
        <v>127</v>
      </c>
      <c r="D300" s="60">
        <v>376274887995</v>
      </c>
      <c r="E300" s="111">
        <v>353064</v>
      </c>
      <c r="G300" s="97">
        <f>13.13+42.82</f>
        <v>55.95</v>
      </c>
      <c r="H300" s="113">
        <v>2748956</v>
      </c>
      <c r="J300" s="113" t="s">
        <v>274</v>
      </c>
    </row>
    <row r="301" spans="1:10" ht="13.9" x14ac:dyDescent="0.25">
      <c r="A301" s="213">
        <v>42764</v>
      </c>
      <c r="B301" s="117" t="s">
        <v>127</v>
      </c>
      <c r="D301" s="60">
        <v>37620713997</v>
      </c>
      <c r="E301" s="113">
        <v>351215</v>
      </c>
      <c r="F301" s="117"/>
      <c r="G301" s="97">
        <v>176.45</v>
      </c>
      <c r="H301" s="113">
        <v>2752142</v>
      </c>
      <c r="J301" s="113" t="s">
        <v>1995</v>
      </c>
    </row>
    <row r="302" spans="1:10" ht="13.9" x14ac:dyDescent="0.25">
      <c r="A302" s="213">
        <v>42765</v>
      </c>
      <c r="B302" s="117" t="s">
        <v>127</v>
      </c>
      <c r="D302" s="60">
        <v>37620713997</v>
      </c>
      <c r="E302" s="113">
        <v>351215</v>
      </c>
      <c r="F302" s="117"/>
      <c r="G302" s="97">
        <v>236</v>
      </c>
      <c r="H302" s="113">
        <v>2755547</v>
      </c>
      <c r="J302" s="113" t="s">
        <v>1995</v>
      </c>
    </row>
    <row r="303" spans="1:10" ht="13.9" x14ac:dyDescent="0.25">
      <c r="A303" s="213">
        <v>42765</v>
      </c>
      <c r="B303" s="117" t="s">
        <v>127</v>
      </c>
      <c r="D303" s="60">
        <v>37620713997</v>
      </c>
      <c r="E303" s="113">
        <v>351215</v>
      </c>
      <c r="F303" s="117"/>
      <c r="G303" s="97">
        <v>124.12</v>
      </c>
      <c r="H303" s="113">
        <v>2755059</v>
      </c>
      <c r="J303" s="113" t="s">
        <v>1995</v>
      </c>
    </row>
    <row r="304" spans="1:10" ht="13.9" x14ac:dyDescent="0.25">
      <c r="A304" s="213">
        <v>42765</v>
      </c>
      <c r="B304" s="117" t="s">
        <v>127</v>
      </c>
      <c r="D304" s="60">
        <v>37620713997</v>
      </c>
      <c r="E304" s="113">
        <v>351215</v>
      </c>
      <c r="F304" s="117"/>
      <c r="G304" s="97">
        <v>49.5</v>
      </c>
      <c r="H304" s="113">
        <v>2749975</v>
      </c>
      <c r="J304" s="113" t="s">
        <v>1995</v>
      </c>
    </row>
    <row r="305" spans="1:10" ht="13.9" x14ac:dyDescent="0.25">
      <c r="A305" s="213">
        <v>42766</v>
      </c>
      <c r="B305" s="117" t="s">
        <v>127</v>
      </c>
      <c r="D305" s="60">
        <v>37620713997</v>
      </c>
      <c r="E305" s="113">
        <v>351215</v>
      </c>
      <c r="F305" s="117"/>
      <c r="G305" s="97">
        <v>84.53</v>
      </c>
      <c r="H305" s="113">
        <v>2757054</v>
      </c>
      <c r="J305" s="113" t="s">
        <v>1995</v>
      </c>
    </row>
    <row r="306" spans="1:10" ht="13.9" x14ac:dyDescent="0.25">
      <c r="A306" s="213">
        <v>42766</v>
      </c>
      <c r="B306" s="117" t="s">
        <v>127</v>
      </c>
      <c r="D306" s="60">
        <v>37620713997</v>
      </c>
      <c r="E306" s="113">
        <v>351215</v>
      </c>
      <c r="F306" s="117"/>
      <c r="G306" s="97">
        <v>68.36</v>
      </c>
      <c r="H306" s="113">
        <v>2758653</v>
      </c>
      <c r="J306" s="113" t="s">
        <v>1995</v>
      </c>
    </row>
    <row r="307" spans="1:10" ht="13.9" x14ac:dyDescent="0.25">
      <c r="A307" s="213">
        <v>42766</v>
      </c>
      <c r="B307" s="117" t="s">
        <v>127</v>
      </c>
      <c r="D307" s="60">
        <v>376274559990</v>
      </c>
      <c r="E307" s="113">
        <v>352777</v>
      </c>
      <c r="F307" s="117"/>
      <c r="G307" s="97">
        <f>22.52+41.89</f>
        <v>64.41</v>
      </c>
      <c r="H307" s="113">
        <v>2758764</v>
      </c>
      <c r="J307" s="113" t="s">
        <v>274</v>
      </c>
    </row>
    <row r="308" spans="1:10" ht="13.9" x14ac:dyDescent="0.25">
      <c r="A308" s="213">
        <v>42768</v>
      </c>
      <c r="B308" s="117" t="s">
        <v>127</v>
      </c>
      <c r="D308" s="60">
        <v>376274796998</v>
      </c>
      <c r="E308" s="113">
        <v>353024</v>
      </c>
      <c r="G308" s="97">
        <f>22.12+79.83</f>
        <v>101.95</v>
      </c>
      <c r="H308" s="113">
        <v>2765536</v>
      </c>
      <c r="J308" s="190" t="s">
        <v>2039</v>
      </c>
    </row>
    <row r="309" spans="1:10" ht="13.9" x14ac:dyDescent="0.25">
      <c r="A309" s="213">
        <v>42769</v>
      </c>
      <c r="B309" s="117" t="s">
        <v>127</v>
      </c>
      <c r="D309" s="60">
        <v>376274796998</v>
      </c>
      <c r="E309" s="113">
        <v>353024</v>
      </c>
      <c r="G309" s="97">
        <f>15.95+61.24</f>
        <v>77.19</v>
      </c>
      <c r="H309" s="113">
        <v>2771882</v>
      </c>
      <c r="J309" s="190" t="s">
        <v>2039</v>
      </c>
    </row>
    <row r="310" spans="1:10" ht="13.9" x14ac:dyDescent="0.25">
      <c r="A310" s="213">
        <v>42767</v>
      </c>
      <c r="B310" s="117" t="s">
        <v>127</v>
      </c>
      <c r="D310" s="60">
        <v>376270713997</v>
      </c>
      <c r="E310" s="113">
        <v>351215</v>
      </c>
      <c r="G310" s="97">
        <v>60</v>
      </c>
      <c r="H310" s="113">
        <v>2765094</v>
      </c>
      <c r="J310" s="190" t="s">
        <v>2039</v>
      </c>
    </row>
    <row r="311" spans="1:10" ht="13.9" x14ac:dyDescent="0.25">
      <c r="A311" s="213">
        <v>42768</v>
      </c>
      <c r="B311" s="117" t="s">
        <v>127</v>
      </c>
      <c r="D311" s="60">
        <v>376270713997</v>
      </c>
      <c r="E311" s="113">
        <v>351215</v>
      </c>
      <c r="G311" s="97">
        <v>63.75</v>
      </c>
      <c r="H311" s="113">
        <v>2763038</v>
      </c>
      <c r="J311" s="190" t="s">
        <v>2039</v>
      </c>
    </row>
    <row r="312" spans="1:10" ht="13.9" x14ac:dyDescent="0.25">
      <c r="A312" s="213">
        <v>42769</v>
      </c>
      <c r="B312" s="117" t="s">
        <v>127</v>
      </c>
      <c r="D312" s="60">
        <v>376270713997</v>
      </c>
      <c r="E312" s="113">
        <v>351215</v>
      </c>
      <c r="G312" s="97">
        <v>118.27</v>
      </c>
      <c r="H312" s="113">
        <v>2769185</v>
      </c>
      <c r="J312" s="190" t="s">
        <v>2039</v>
      </c>
    </row>
    <row r="313" spans="1:10" ht="13.9" x14ac:dyDescent="0.25">
      <c r="A313" s="213">
        <v>42769</v>
      </c>
      <c r="B313" s="117" t="s">
        <v>127</v>
      </c>
      <c r="D313" s="60">
        <v>376273575997</v>
      </c>
      <c r="E313" s="113">
        <v>352533</v>
      </c>
      <c r="G313" s="97">
        <f>38.25+124.49</f>
        <v>162.74</v>
      </c>
      <c r="H313" s="113">
        <v>2769168</v>
      </c>
      <c r="J313" s="45" t="s">
        <v>2040</v>
      </c>
    </row>
    <row r="314" spans="1:10" ht="13.9" x14ac:dyDescent="0.25">
      <c r="A314" s="213">
        <v>42769</v>
      </c>
      <c r="B314" s="117" t="s">
        <v>127</v>
      </c>
      <c r="D314" s="60">
        <v>376274747991</v>
      </c>
      <c r="E314" s="113">
        <v>352995</v>
      </c>
      <c r="G314" s="97">
        <f>24.04+93.51</f>
        <v>117.55000000000001</v>
      </c>
      <c r="H314" s="113">
        <v>2762284</v>
      </c>
      <c r="J314" s="45" t="s">
        <v>2040</v>
      </c>
    </row>
    <row r="315" spans="1:10" ht="13.9" x14ac:dyDescent="0.25">
      <c r="A315" s="213">
        <v>42767</v>
      </c>
      <c r="B315" s="117" t="s">
        <v>127</v>
      </c>
      <c r="D315" s="60">
        <v>376274559990</v>
      </c>
      <c r="E315" s="113">
        <v>352777</v>
      </c>
      <c r="G315" s="97">
        <f>20.12+75.7</f>
        <v>95.820000000000007</v>
      </c>
      <c r="H315" s="113">
        <v>2758486</v>
      </c>
      <c r="J315" s="190" t="s">
        <v>2041</v>
      </c>
    </row>
    <row r="316" spans="1:10" ht="13.9" x14ac:dyDescent="0.25">
      <c r="A316" s="213">
        <v>42767</v>
      </c>
      <c r="B316" s="117" t="s">
        <v>127</v>
      </c>
      <c r="D316" s="60">
        <v>376273856991</v>
      </c>
      <c r="E316" s="113">
        <v>352595</v>
      </c>
      <c r="G316" s="97">
        <f>10.96+79.95</f>
        <v>90.91</v>
      </c>
      <c r="H316" s="113">
        <v>2758811</v>
      </c>
      <c r="J316" s="45" t="s">
        <v>2040</v>
      </c>
    </row>
    <row r="317" spans="1:10" ht="13.9" x14ac:dyDescent="0.25">
      <c r="A317" s="213">
        <v>42767</v>
      </c>
      <c r="B317" s="117" t="s">
        <v>127</v>
      </c>
      <c r="D317" s="60">
        <v>376273445993</v>
      </c>
      <c r="E317" s="113">
        <v>352400</v>
      </c>
      <c r="G317" s="97">
        <f>23.17+62.73</f>
        <v>85.9</v>
      </c>
      <c r="H317" s="113">
        <v>2762404</v>
      </c>
      <c r="J317" s="45" t="s">
        <v>179</v>
      </c>
    </row>
    <row r="318" spans="1:10" ht="13.9" x14ac:dyDescent="0.25">
      <c r="A318" s="213">
        <v>42768</v>
      </c>
      <c r="B318" s="117" t="s">
        <v>127</v>
      </c>
      <c r="D318" s="60">
        <v>376215730999</v>
      </c>
      <c r="E318" s="113">
        <v>201508</v>
      </c>
      <c r="G318" s="97">
        <f>13.24+18.24</f>
        <v>31.479999999999997</v>
      </c>
      <c r="H318" s="113">
        <v>2765592</v>
      </c>
      <c r="J318" s="45" t="s">
        <v>179</v>
      </c>
    </row>
    <row r="319" spans="1:10" ht="13.9" x14ac:dyDescent="0.25">
      <c r="A319" s="213">
        <v>42771</v>
      </c>
      <c r="B319" s="117" t="s">
        <v>127</v>
      </c>
      <c r="D319" s="60">
        <v>376273432991</v>
      </c>
      <c r="E319" s="113">
        <v>352397</v>
      </c>
      <c r="G319" s="97">
        <f>12.69+67.41</f>
        <v>80.099999999999994</v>
      </c>
      <c r="H319" s="113">
        <v>2773604</v>
      </c>
      <c r="J319" s="113" t="s">
        <v>2051</v>
      </c>
    </row>
    <row r="320" spans="1:10" ht="13.9" x14ac:dyDescent="0.25">
      <c r="A320" s="213">
        <v>42772</v>
      </c>
      <c r="B320" s="117" t="s">
        <v>127</v>
      </c>
      <c r="D320" s="60">
        <v>376273432991</v>
      </c>
      <c r="E320" s="113">
        <v>352397</v>
      </c>
      <c r="G320" s="97">
        <f>94.84+124.19</f>
        <v>219.03</v>
      </c>
      <c r="H320" s="113">
        <v>2778950</v>
      </c>
      <c r="J320" s="113" t="s">
        <v>2051</v>
      </c>
    </row>
    <row r="321" spans="1:10" ht="13.9" x14ac:dyDescent="0.25">
      <c r="A321" s="213">
        <v>42774</v>
      </c>
      <c r="B321" s="117" t="s">
        <v>127</v>
      </c>
      <c r="D321" s="60">
        <v>376270713997</v>
      </c>
      <c r="E321" s="113">
        <v>351215</v>
      </c>
      <c r="G321" s="97">
        <v>67.430000000000007</v>
      </c>
      <c r="H321" s="113">
        <v>2776944</v>
      </c>
      <c r="J321" s="113" t="s">
        <v>273</v>
      </c>
    </row>
    <row r="322" spans="1:10" ht="13.9" x14ac:dyDescent="0.25">
      <c r="A322" s="213">
        <v>42774</v>
      </c>
      <c r="B322" s="117" t="s">
        <v>127</v>
      </c>
      <c r="D322" s="60">
        <v>376270713997</v>
      </c>
      <c r="E322" s="113">
        <v>351215</v>
      </c>
      <c r="G322" s="97">
        <v>-99</v>
      </c>
      <c r="H322" s="113">
        <v>2595789</v>
      </c>
      <c r="J322" s="113" t="s">
        <v>273</v>
      </c>
    </row>
    <row r="323" spans="1:10" ht="13.9" x14ac:dyDescent="0.25">
      <c r="A323" s="213">
        <v>42774</v>
      </c>
      <c r="B323" s="117" t="s">
        <v>127</v>
      </c>
      <c r="D323" s="60">
        <v>376270713997</v>
      </c>
      <c r="E323" s="113">
        <v>351215</v>
      </c>
      <c r="G323" s="97">
        <v>44.63</v>
      </c>
      <c r="H323" s="113">
        <v>2784409</v>
      </c>
      <c r="J323" s="113" t="s">
        <v>273</v>
      </c>
    </row>
    <row r="324" spans="1:10" ht="13.9" x14ac:dyDescent="0.25">
      <c r="A324" s="213">
        <v>42774</v>
      </c>
      <c r="B324" s="117" t="s">
        <v>127</v>
      </c>
      <c r="D324" s="60">
        <v>376270713997</v>
      </c>
      <c r="E324" s="113">
        <v>351215</v>
      </c>
      <c r="G324" s="97">
        <v>244</v>
      </c>
      <c r="H324" s="113">
        <v>2789969</v>
      </c>
      <c r="J324" s="113" t="s">
        <v>273</v>
      </c>
    </row>
    <row r="325" spans="1:10" ht="13.9" x14ac:dyDescent="0.25">
      <c r="A325" s="213">
        <v>42774</v>
      </c>
      <c r="B325" s="117" t="s">
        <v>127</v>
      </c>
      <c r="D325" s="60">
        <v>376270713997</v>
      </c>
      <c r="E325" s="113">
        <v>351215</v>
      </c>
      <c r="G325" s="97">
        <v>32</v>
      </c>
      <c r="H325" s="113">
        <v>2789325</v>
      </c>
      <c r="J325" s="113" t="s">
        <v>273</v>
      </c>
    </row>
    <row r="326" spans="1:10" ht="13.9" x14ac:dyDescent="0.25">
      <c r="A326" s="213">
        <v>42774</v>
      </c>
      <c r="B326" s="117" t="s">
        <v>127</v>
      </c>
      <c r="D326" s="60">
        <v>376270713997</v>
      </c>
      <c r="E326" s="113">
        <v>351215</v>
      </c>
      <c r="G326" s="97">
        <v>82</v>
      </c>
      <c r="H326" s="113">
        <v>2795985</v>
      </c>
      <c r="J326" s="113" t="s">
        <v>273</v>
      </c>
    </row>
    <row r="327" spans="1:10" ht="13.9" x14ac:dyDescent="0.25">
      <c r="A327" s="213">
        <v>42772</v>
      </c>
      <c r="B327" s="117" t="s">
        <v>127</v>
      </c>
      <c r="D327" s="60">
        <v>376273433999</v>
      </c>
      <c r="E327" s="113">
        <v>352385</v>
      </c>
      <c r="G327" s="97">
        <f>25.27+61.12</f>
        <v>86.39</v>
      </c>
      <c r="H327" s="113">
        <v>2777623</v>
      </c>
      <c r="J327" s="113" t="s">
        <v>274</v>
      </c>
    </row>
    <row r="328" spans="1:10" ht="13.9" x14ac:dyDescent="0.25">
      <c r="A328" s="213">
        <v>42772</v>
      </c>
      <c r="B328" s="117" t="s">
        <v>127</v>
      </c>
      <c r="D328" s="60">
        <v>376273946990</v>
      </c>
      <c r="E328" s="113">
        <v>352564</v>
      </c>
      <c r="G328" s="97">
        <f>32.91+150.89</f>
        <v>183.79999999999998</v>
      </c>
      <c r="H328" s="113">
        <v>2777951</v>
      </c>
      <c r="J328" s="113" t="s">
        <v>2051</v>
      </c>
    </row>
    <row r="329" spans="1:10" ht="13.9" x14ac:dyDescent="0.25">
      <c r="A329" s="213">
        <v>42772</v>
      </c>
      <c r="B329" s="117" t="s">
        <v>127</v>
      </c>
      <c r="D329" s="60">
        <v>376273652994</v>
      </c>
      <c r="E329" s="113">
        <v>352514</v>
      </c>
      <c r="G329" s="97">
        <f>24.95+75.45</f>
        <v>100.4</v>
      </c>
      <c r="H329" s="113">
        <v>2773080</v>
      </c>
      <c r="J329" s="113" t="s">
        <v>274</v>
      </c>
    </row>
    <row r="330" spans="1:10" ht="13.9" x14ac:dyDescent="0.25">
      <c r="A330" s="213">
        <v>42772</v>
      </c>
      <c r="B330" s="117" t="s">
        <v>127</v>
      </c>
      <c r="D330" s="60">
        <v>376273856991</v>
      </c>
      <c r="E330" s="113">
        <v>352595</v>
      </c>
      <c r="G330" s="97">
        <f>9.87+76.08</f>
        <v>85.95</v>
      </c>
      <c r="H330" s="113">
        <v>2777079</v>
      </c>
      <c r="J330" s="113" t="s">
        <v>274</v>
      </c>
    </row>
    <row r="331" spans="1:10" ht="13.9" x14ac:dyDescent="0.25">
      <c r="A331" s="213">
        <v>42767</v>
      </c>
      <c r="B331" s="117" t="s">
        <v>127</v>
      </c>
      <c r="D331" s="60">
        <v>376274747991</v>
      </c>
      <c r="E331" s="113">
        <v>352995</v>
      </c>
      <c r="G331" s="97">
        <f>11.63+72.8</f>
        <v>84.429999999999993</v>
      </c>
      <c r="H331" s="113">
        <v>27778368</v>
      </c>
      <c r="J331" s="113" t="s">
        <v>274</v>
      </c>
    </row>
    <row r="332" spans="1:10" ht="13.9" x14ac:dyDescent="0.25">
      <c r="A332" s="213">
        <v>42775</v>
      </c>
      <c r="B332" s="117" t="s">
        <v>127</v>
      </c>
      <c r="D332" s="60">
        <v>376274749997</v>
      </c>
      <c r="E332" s="113">
        <v>353000</v>
      </c>
      <c r="G332" s="97">
        <f>39.93+31.58</f>
        <v>71.509999999999991</v>
      </c>
      <c r="H332" s="113">
        <v>2789912</v>
      </c>
      <c r="J332" s="113" t="s">
        <v>274</v>
      </c>
    </row>
    <row r="333" spans="1:10" ht="13.9" x14ac:dyDescent="0.25">
      <c r="A333" s="213">
        <v>42773</v>
      </c>
      <c r="B333" s="117" t="s">
        <v>127</v>
      </c>
      <c r="D333" s="60">
        <v>376274796998</v>
      </c>
      <c r="E333" s="113">
        <v>353024</v>
      </c>
      <c r="G333" s="97">
        <f>6.64+63.87</f>
        <v>70.509999999999991</v>
      </c>
      <c r="H333" s="113">
        <v>2773462</v>
      </c>
      <c r="J333" s="113" t="s">
        <v>274</v>
      </c>
    </row>
    <row r="334" spans="1:10" ht="13.9" x14ac:dyDescent="0.25">
      <c r="A334" s="213">
        <v>42774</v>
      </c>
      <c r="B334" s="117" t="s">
        <v>127</v>
      </c>
      <c r="D334" s="60">
        <v>376273730998</v>
      </c>
      <c r="E334" s="113">
        <v>352638</v>
      </c>
      <c r="G334" s="97">
        <f>14.8+49.03</f>
        <v>63.83</v>
      </c>
      <c r="H334" s="113">
        <v>2783911</v>
      </c>
      <c r="J334" s="113" t="s">
        <v>274</v>
      </c>
    </row>
    <row r="335" spans="1:10" ht="13.9" x14ac:dyDescent="0.25">
      <c r="A335" s="213">
        <v>42775</v>
      </c>
      <c r="B335" s="117" t="s">
        <v>127</v>
      </c>
      <c r="D335" s="60">
        <v>376274475999</v>
      </c>
      <c r="E335" s="113">
        <v>352831</v>
      </c>
      <c r="G335" s="97">
        <f>36.25+23.9</f>
        <v>60.15</v>
      </c>
      <c r="H335" s="113">
        <v>2789928</v>
      </c>
      <c r="J335" s="113" t="s">
        <v>274</v>
      </c>
    </row>
    <row r="336" spans="1:10" ht="13.9" x14ac:dyDescent="0.25">
      <c r="A336" s="213">
        <v>42774</v>
      </c>
      <c r="B336" s="117" t="s">
        <v>127</v>
      </c>
      <c r="D336" s="60">
        <v>376214535993</v>
      </c>
      <c r="E336" s="113">
        <v>214122</v>
      </c>
      <c r="G336" s="97">
        <f>11.43+21.52</f>
        <v>32.950000000000003</v>
      </c>
      <c r="H336" s="113">
        <v>2785174</v>
      </c>
      <c r="J336" s="113" t="s">
        <v>274</v>
      </c>
    </row>
    <row r="337" spans="1:19" ht="13.9" x14ac:dyDescent="0.25">
      <c r="A337" s="213">
        <v>42773</v>
      </c>
      <c r="B337" s="117" t="s">
        <v>127</v>
      </c>
      <c r="D337" s="60">
        <v>376274559990</v>
      </c>
      <c r="E337" s="113">
        <v>352777</v>
      </c>
      <c r="G337" s="97">
        <f>16.36+37.12</f>
        <v>53.48</v>
      </c>
      <c r="H337" s="113">
        <v>2783160</v>
      </c>
      <c r="J337" s="113" t="s">
        <v>2051</v>
      </c>
    </row>
    <row r="338" spans="1:19" ht="13.9" x14ac:dyDescent="0.25">
      <c r="A338" s="213">
        <v>42772</v>
      </c>
      <c r="B338" s="117" t="s">
        <v>127</v>
      </c>
      <c r="D338" s="60">
        <v>376273445993</v>
      </c>
      <c r="E338" s="113">
        <v>352400</v>
      </c>
      <c r="G338" s="97">
        <f>60.58+209.32</f>
        <v>269.89999999999998</v>
      </c>
      <c r="H338" s="113">
        <v>2775605</v>
      </c>
      <c r="J338" s="113" t="s">
        <v>2051</v>
      </c>
    </row>
    <row r="339" spans="1:19" s="328" customFormat="1" ht="14.85" customHeight="1" x14ac:dyDescent="0.3">
      <c r="A339" s="326">
        <v>42779</v>
      </c>
      <c r="B339" s="13" t="s">
        <v>127</v>
      </c>
      <c r="C339" s="327"/>
      <c r="D339" s="329" t="s">
        <v>181</v>
      </c>
      <c r="E339" s="331">
        <v>351215</v>
      </c>
      <c r="F339" s="318"/>
      <c r="G339" s="331">
        <v>36.58</v>
      </c>
      <c r="H339" s="331">
        <v>2794425</v>
      </c>
      <c r="J339" s="332" t="s">
        <v>2041</v>
      </c>
    </row>
    <row r="340" spans="1:19" s="328" customFormat="1" ht="14.85" customHeight="1" x14ac:dyDescent="0.3">
      <c r="A340" s="326">
        <v>42780</v>
      </c>
      <c r="B340" s="13" t="s">
        <v>127</v>
      </c>
      <c r="C340" s="327"/>
      <c r="D340" s="329" t="s">
        <v>181</v>
      </c>
      <c r="E340" s="331">
        <v>351215</v>
      </c>
      <c r="F340" s="318"/>
      <c r="G340" s="331">
        <v>41.56</v>
      </c>
      <c r="H340" s="331">
        <v>2794595</v>
      </c>
      <c r="J340" s="332" t="s">
        <v>2041</v>
      </c>
    </row>
    <row r="341" spans="1:19" s="328" customFormat="1" ht="14.85" customHeight="1" x14ac:dyDescent="0.3">
      <c r="A341" s="326">
        <v>42782</v>
      </c>
      <c r="B341" s="13" t="s">
        <v>127</v>
      </c>
      <c r="C341" s="327"/>
      <c r="D341" s="329" t="s">
        <v>181</v>
      </c>
      <c r="E341" s="331">
        <v>351215</v>
      </c>
      <c r="F341" s="318"/>
      <c r="G341" s="331">
        <v>264.74</v>
      </c>
      <c r="H341" s="331">
        <v>2808506</v>
      </c>
      <c r="J341" s="332" t="s">
        <v>2041</v>
      </c>
    </row>
    <row r="342" spans="1:19" s="328" customFormat="1" ht="14.85" customHeight="1" x14ac:dyDescent="0.3">
      <c r="A342" s="326">
        <v>42783</v>
      </c>
      <c r="B342" s="13" t="s">
        <v>127</v>
      </c>
      <c r="C342" s="327"/>
      <c r="D342" s="329" t="s">
        <v>181</v>
      </c>
      <c r="E342" s="331">
        <v>351215</v>
      </c>
      <c r="F342" s="318"/>
      <c r="G342" s="331">
        <v>75.98</v>
      </c>
      <c r="H342" s="331">
        <v>2814338</v>
      </c>
      <c r="J342" s="332" t="s">
        <v>2041</v>
      </c>
    </row>
    <row r="343" spans="1:19" s="328" customFormat="1" ht="14.85" customHeight="1" x14ac:dyDescent="0.3">
      <c r="A343" s="326">
        <v>42779</v>
      </c>
      <c r="B343" s="13" t="s">
        <v>127</v>
      </c>
      <c r="C343" s="327"/>
      <c r="D343" s="330" t="s">
        <v>2067</v>
      </c>
      <c r="E343" s="80">
        <v>353023</v>
      </c>
      <c r="F343" s="318"/>
      <c r="G343" s="331">
        <f>47.61+9.24</f>
        <v>56.85</v>
      </c>
      <c r="H343" s="82">
        <v>2801479</v>
      </c>
      <c r="J343" s="332" t="s">
        <v>2066</v>
      </c>
    </row>
    <row r="344" spans="1:19" s="1" customFormat="1" ht="14.45" x14ac:dyDescent="0.3">
      <c r="A344" s="338">
        <v>42790</v>
      </c>
      <c r="B344" s="51" t="s">
        <v>127</v>
      </c>
      <c r="C344" s="323"/>
      <c r="D344" s="334" t="s">
        <v>181</v>
      </c>
      <c r="E344" s="79">
        <v>351215</v>
      </c>
      <c r="F344" s="314"/>
      <c r="G344" s="29">
        <f>80.84+28.16</f>
        <v>109</v>
      </c>
      <c r="H344" s="82">
        <v>2836236</v>
      </c>
      <c r="I344" s="2"/>
      <c r="J344" s="28" t="s">
        <v>2129</v>
      </c>
      <c r="K344" s="2"/>
      <c r="L344" s="2"/>
      <c r="M344" s="2"/>
      <c r="N344" s="2"/>
      <c r="O344" s="2"/>
      <c r="Q344" s="2"/>
      <c r="R344" s="2"/>
      <c r="S344" s="2"/>
    </row>
    <row r="345" spans="1:19" s="1" customFormat="1" ht="14.45" x14ac:dyDescent="0.3">
      <c r="A345" s="338">
        <v>42786.262337962966</v>
      </c>
      <c r="B345" s="345" t="s">
        <v>127</v>
      </c>
      <c r="C345" s="322"/>
      <c r="D345" s="333" t="s">
        <v>181</v>
      </c>
      <c r="E345" s="79">
        <v>351215</v>
      </c>
      <c r="F345" s="314"/>
      <c r="G345" s="113">
        <v>53</v>
      </c>
      <c r="H345" s="81">
        <v>2814483</v>
      </c>
      <c r="I345" s="2"/>
      <c r="J345" s="190" t="s">
        <v>182</v>
      </c>
      <c r="K345" s="2"/>
      <c r="L345" s="2"/>
      <c r="M345" s="2"/>
      <c r="N345" s="2"/>
      <c r="O345" s="2"/>
      <c r="Q345" s="2"/>
      <c r="R345" s="2"/>
      <c r="S345" s="2"/>
    </row>
    <row r="346" spans="1:19" s="1" customFormat="1" ht="14.45" x14ac:dyDescent="0.3">
      <c r="A346" s="338">
        <v>42786.267905092594</v>
      </c>
      <c r="B346" s="345" t="s">
        <v>127</v>
      </c>
      <c r="C346" s="322"/>
      <c r="D346" s="333" t="s">
        <v>181</v>
      </c>
      <c r="E346" s="79">
        <v>351215</v>
      </c>
      <c r="F346" s="314"/>
      <c r="G346" s="113">
        <v>90</v>
      </c>
      <c r="H346" s="81">
        <v>2822514</v>
      </c>
      <c r="I346" s="2"/>
      <c r="J346" s="190" t="s">
        <v>182</v>
      </c>
      <c r="K346" s="2"/>
      <c r="L346" s="2"/>
      <c r="M346" s="2"/>
      <c r="N346" s="2"/>
      <c r="O346" s="2"/>
      <c r="Q346" s="2"/>
      <c r="R346" s="2"/>
      <c r="S346" s="2"/>
    </row>
    <row r="347" spans="1:19" s="1" customFormat="1" ht="14.45" x14ac:dyDescent="0.3">
      <c r="A347" s="338">
        <v>42786.509965277779</v>
      </c>
      <c r="B347" s="345" t="s">
        <v>127</v>
      </c>
      <c r="C347" s="322"/>
      <c r="D347" s="333" t="s">
        <v>181</v>
      </c>
      <c r="E347" s="79">
        <v>351215</v>
      </c>
      <c r="F347" s="314"/>
      <c r="G347" s="113">
        <v>72.87</v>
      </c>
      <c r="H347" s="81">
        <v>2818761</v>
      </c>
      <c r="I347" s="2"/>
      <c r="J347" s="190" t="s">
        <v>182</v>
      </c>
      <c r="K347" s="2"/>
      <c r="L347" s="2"/>
      <c r="M347" s="2"/>
      <c r="N347" s="2"/>
      <c r="O347" s="2"/>
      <c r="Q347" s="2"/>
      <c r="R347" s="2"/>
      <c r="S347" s="2"/>
    </row>
    <row r="348" spans="1:19" s="1" customFormat="1" ht="14.45" x14ac:dyDescent="0.3">
      <c r="A348" s="338">
        <v>42786.519189814811</v>
      </c>
      <c r="B348" s="345" t="s">
        <v>127</v>
      </c>
      <c r="C348" s="322"/>
      <c r="D348" s="333" t="s">
        <v>181</v>
      </c>
      <c r="E348" s="79">
        <v>351215</v>
      </c>
      <c r="F348" s="314"/>
      <c r="G348" s="113">
        <v>72.2</v>
      </c>
      <c r="H348" s="81">
        <v>2819405</v>
      </c>
      <c r="I348" s="2"/>
      <c r="J348" s="190" t="s">
        <v>182</v>
      </c>
      <c r="K348" s="2"/>
      <c r="L348" s="2"/>
      <c r="M348" s="2"/>
      <c r="N348" s="2"/>
      <c r="O348" s="2"/>
      <c r="Q348" s="2"/>
      <c r="R348" s="2"/>
      <c r="S348" s="2"/>
    </row>
    <row r="349" spans="1:19" s="1" customFormat="1" ht="14.45" x14ac:dyDescent="0.3">
      <c r="A349" s="338">
        <v>42787.233576388891</v>
      </c>
      <c r="B349" s="345" t="s">
        <v>127</v>
      </c>
      <c r="C349" s="322"/>
      <c r="D349" s="333" t="s">
        <v>181</v>
      </c>
      <c r="E349" s="79">
        <v>351215</v>
      </c>
      <c r="F349" s="314"/>
      <c r="G349" s="113">
        <v>125.07</v>
      </c>
      <c r="H349" s="81">
        <v>2827018</v>
      </c>
      <c r="I349" s="2"/>
      <c r="J349" s="190" t="s">
        <v>182</v>
      </c>
      <c r="K349" s="2"/>
      <c r="L349" s="2"/>
      <c r="M349" s="2"/>
      <c r="N349" s="2"/>
      <c r="O349" s="2"/>
      <c r="Q349" s="2"/>
      <c r="R349" s="2"/>
      <c r="S349" s="2"/>
    </row>
    <row r="350" spans="1:19" s="1" customFormat="1" ht="14.45" x14ac:dyDescent="0.3">
      <c r="A350" s="338">
        <v>42788.135740740741</v>
      </c>
      <c r="B350" s="345" t="s">
        <v>127</v>
      </c>
      <c r="C350" s="322"/>
      <c r="D350" s="333" t="s">
        <v>181</v>
      </c>
      <c r="E350" s="79">
        <v>351215</v>
      </c>
      <c r="F350" s="314"/>
      <c r="G350" s="113">
        <v>94.82</v>
      </c>
      <c r="H350" s="81">
        <v>2822209</v>
      </c>
      <c r="I350" s="2"/>
      <c r="J350" s="190" t="s">
        <v>182</v>
      </c>
      <c r="K350" s="2"/>
      <c r="L350" s="2"/>
      <c r="M350" s="2"/>
      <c r="N350" s="2"/>
      <c r="O350" s="2"/>
      <c r="Q350" s="2"/>
      <c r="R350" s="2"/>
      <c r="S350" s="2"/>
    </row>
    <row r="351" spans="1:19" s="1" customFormat="1" ht="14.45" x14ac:dyDescent="0.3">
      <c r="A351" s="338">
        <v>42788.188449074078</v>
      </c>
      <c r="B351" s="345" t="s">
        <v>127</v>
      </c>
      <c r="C351" s="322"/>
      <c r="D351" s="333" t="s">
        <v>181</v>
      </c>
      <c r="E351" s="79">
        <v>351215</v>
      </c>
      <c r="F351" s="314"/>
      <c r="G351" s="113">
        <v>171</v>
      </c>
      <c r="H351" s="81">
        <v>2831485</v>
      </c>
      <c r="I351" s="2"/>
      <c r="J351" s="190" t="s">
        <v>182</v>
      </c>
      <c r="K351" s="2"/>
      <c r="L351" s="2"/>
      <c r="M351" s="2"/>
      <c r="N351" s="2"/>
      <c r="O351" s="2"/>
      <c r="Q351" s="2"/>
      <c r="R351" s="2"/>
      <c r="S351" s="2"/>
    </row>
    <row r="352" spans="1:19" s="1" customFormat="1" ht="14.45" x14ac:dyDescent="0.3">
      <c r="A352" s="338">
        <v>42788.202048611114</v>
      </c>
      <c r="B352" s="345" t="s">
        <v>127</v>
      </c>
      <c r="C352" s="322"/>
      <c r="D352" s="333" t="s">
        <v>181</v>
      </c>
      <c r="E352" s="79">
        <v>351215</v>
      </c>
      <c r="F352" s="316"/>
      <c r="G352" s="113">
        <v>20.95</v>
      </c>
      <c r="H352" s="81">
        <v>2830136</v>
      </c>
      <c r="I352" s="2"/>
      <c r="J352" s="190" t="s">
        <v>182</v>
      </c>
      <c r="K352" s="2"/>
      <c r="L352" s="2"/>
      <c r="M352" s="2"/>
      <c r="N352" s="2"/>
      <c r="O352" s="2"/>
      <c r="Q352" s="2"/>
      <c r="R352" s="2"/>
      <c r="S352" s="2"/>
    </row>
    <row r="353" spans="1:19" s="1" customFormat="1" ht="14.45" x14ac:dyDescent="0.3">
      <c r="A353" s="338">
        <v>42788.23746527778</v>
      </c>
      <c r="B353" s="345" t="s">
        <v>127</v>
      </c>
      <c r="C353" s="322"/>
      <c r="D353" s="333" t="s">
        <v>181</v>
      </c>
      <c r="E353" s="79">
        <v>351215</v>
      </c>
      <c r="F353" s="314"/>
      <c r="G353" s="113">
        <v>116</v>
      </c>
      <c r="H353" s="81">
        <v>2832488</v>
      </c>
      <c r="I353" s="2"/>
      <c r="J353" s="190" t="s">
        <v>182</v>
      </c>
      <c r="K353" s="2"/>
      <c r="L353" s="2"/>
      <c r="M353" s="2"/>
      <c r="N353" s="2"/>
      <c r="O353" s="2"/>
      <c r="P353" s="2"/>
      <c r="Q353" s="2"/>
      <c r="R353" s="2"/>
      <c r="S353" s="2"/>
    </row>
    <row r="354" spans="1:19" s="1" customFormat="1" ht="14.45" x14ac:dyDescent="0.3">
      <c r="A354" s="343">
        <v>42786</v>
      </c>
      <c r="B354" s="19" t="s">
        <v>127</v>
      </c>
      <c r="C354" s="19"/>
      <c r="D354" s="334" t="s">
        <v>2130</v>
      </c>
      <c r="E354" s="79">
        <v>214122</v>
      </c>
      <c r="F354" s="314"/>
      <c r="G354" s="81">
        <f>42.25+10</f>
        <v>52.25</v>
      </c>
      <c r="H354" s="81">
        <v>2809351</v>
      </c>
      <c r="I354" s="2"/>
      <c r="J354" s="348" t="s">
        <v>179</v>
      </c>
      <c r="K354" s="2"/>
      <c r="L354" s="2"/>
      <c r="M354" s="2"/>
      <c r="N354" s="2"/>
      <c r="O354" s="2"/>
      <c r="P354" s="2"/>
      <c r="Q354" s="2"/>
      <c r="R354" s="2"/>
      <c r="S354" s="2"/>
    </row>
    <row r="355" spans="1:19" s="1" customFormat="1" ht="14.45" x14ac:dyDescent="0.3">
      <c r="A355" s="213">
        <v>42793</v>
      </c>
      <c r="B355" s="19" t="s">
        <v>127</v>
      </c>
      <c r="C355" s="322"/>
      <c r="D355" s="346" t="s">
        <v>181</v>
      </c>
      <c r="E355" s="347">
        <v>351215</v>
      </c>
      <c r="F355" s="315"/>
      <c r="G355" s="83">
        <f>11.25+18.75</f>
        <v>30</v>
      </c>
      <c r="H355" s="83">
        <v>2844296</v>
      </c>
      <c r="J355" s="28" t="s">
        <v>2129</v>
      </c>
      <c r="K355" s="337"/>
      <c r="L355" s="337"/>
    </row>
    <row r="356" spans="1:19" s="1" customFormat="1" ht="14.45" x14ac:dyDescent="0.3">
      <c r="A356" s="213">
        <v>42792</v>
      </c>
      <c r="B356" s="19" t="s">
        <v>127</v>
      </c>
      <c r="C356" s="322"/>
      <c r="D356" s="346" t="s">
        <v>181</v>
      </c>
      <c r="E356" s="347">
        <v>351215</v>
      </c>
      <c r="F356" s="315"/>
      <c r="G356" s="83">
        <v>70.040000000000006</v>
      </c>
      <c r="H356" s="81">
        <v>2840545</v>
      </c>
      <c r="J356" s="190" t="s">
        <v>182</v>
      </c>
      <c r="K356" s="337"/>
      <c r="L356" s="337"/>
    </row>
    <row r="357" spans="1:19" s="1" customFormat="1" ht="14.45" x14ac:dyDescent="0.3">
      <c r="A357" s="213">
        <v>42793</v>
      </c>
      <c r="B357" s="19" t="s">
        <v>127</v>
      </c>
      <c r="C357" s="322"/>
      <c r="D357" s="346" t="s">
        <v>181</v>
      </c>
      <c r="E357" s="347">
        <v>351215</v>
      </c>
      <c r="F357" s="315"/>
      <c r="G357" s="83">
        <v>83.69</v>
      </c>
      <c r="H357" s="81">
        <v>2840080</v>
      </c>
      <c r="J357" s="190" t="s">
        <v>182</v>
      </c>
      <c r="K357" s="337"/>
      <c r="L357" s="337"/>
    </row>
    <row r="358" spans="1:19" s="1" customFormat="1" ht="14.45" x14ac:dyDescent="0.3">
      <c r="A358" s="344">
        <v>42793</v>
      </c>
      <c r="B358" s="19" t="s">
        <v>127</v>
      </c>
      <c r="C358" s="322"/>
      <c r="D358" s="346" t="s">
        <v>181</v>
      </c>
      <c r="E358" s="347">
        <v>351215</v>
      </c>
      <c r="F358" s="315"/>
      <c r="G358" s="83">
        <v>41.95</v>
      </c>
      <c r="H358" s="81">
        <v>2841014</v>
      </c>
      <c r="J358" s="190" t="s">
        <v>182</v>
      </c>
      <c r="K358" s="337"/>
      <c r="L358" s="337"/>
    </row>
    <row r="359" spans="1:19" s="1" customFormat="1" ht="14.45" x14ac:dyDescent="0.3">
      <c r="A359" s="213">
        <v>42794</v>
      </c>
      <c r="B359" s="19" t="s">
        <v>127</v>
      </c>
      <c r="C359" s="322"/>
      <c r="D359" s="346" t="s">
        <v>181</v>
      </c>
      <c r="E359" s="347">
        <v>351215</v>
      </c>
      <c r="F359" s="315"/>
      <c r="G359" s="83">
        <v>100</v>
      </c>
      <c r="H359" s="81">
        <v>2845894</v>
      </c>
      <c r="J359" s="190" t="s">
        <v>182</v>
      </c>
      <c r="K359" s="337"/>
      <c r="L359" s="337"/>
    </row>
    <row r="360" spans="1:19" ht="13.9" x14ac:dyDescent="0.25">
      <c r="A360" s="213">
        <v>42795</v>
      </c>
      <c r="B360" s="117" t="s">
        <v>127</v>
      </c>
      <c r="D360" s="60">
        <v>376270713997</v>
      </c>
      <c r="E360" s="113">
        <v>351215</v>
      </c>
      <c r="G360" s="97">
        <f>109</f>
        <v>109</v>
      </c>
      <c r="H360" s="113">
        <v>2846203</v>
      </c>
      <c r="J360" s="211" t="s">
        <v>2160</v>
      </c>
      <c r="K360" s="349"/>
      <c r="L360" s="349"/>
    </row>
    <row r="361" spans="1:19" ht="13.9" x14ac:dyDescent="0.25">
      <c r="A361" s="213">
        <v>42795</v>
      </c>
      <c r="B361" s="117" t="s">
        <v>127</v>
      </c>
      <c r="D361" s="60">
        <v>376270713997</v>
      </c>
      <c r="E361" s="113">
        <v>351215</v>
      </c>
      <c r="G361" s="97">
        <v>101.76</v>
      </c>
      <c r="H361" s="113">
        <v>2846216</v>
      </c>
      <c r="J361" s="211" t="s">
        <v>2160</v>
      </c>
      <c r="K361" s="357"/>
      <c r="L361" s="357"/>
    </row>
    <row r="362" spans="1:19" ht="13.9" x14ac:dyDescent="0.25">
      <c r="A362" s="213">
        <v>42796</v>
      </c>
      <c r="B362" s="117" t="s">
        <v>127</v>
      </c>
      <c r="D362" s="60">
        <v>376270713997</v>
      </c>
      <c r="E362" s="113">
        <v>351215</v>
      </c>
      <c r="G362" s="97">
        <f>90.95</f>
        <v>90.95</v>
      </c>
      <c r="H362" s="113">
        <v>2847247</v>
      </c>
      <c r="J362" s="211" t="s">
        <v>2160</v>
      </c>
    </row>
    <row r="363" spans="1:19" ht="13.9" x14ac:dyDescent="0.25">
      <c r="A363" s="213">
        <v>42796</v>
      </c>
      <c r="B363" s="117" t="s">
        <v>127</v>
      </c>
      <c r="D363" s="60">
        <v>376270713997</v>
      </c>
      <c r="E363" s="113">
        <v>351215</v>
      </c>
      <c r="G363" s="97">
        <v>122</v>
      </c>
      <c r="H363" s="113">
        <v>2856365</v>
      </c>
      <c r="J363" s="211" t="s">
        <v>2160</v>
      </c>
    </row>
    <row r="364" spans="1:19" ht="13.9" x14ac:dyDescent="0.25">
      <c r="A364" s="213">
        <v>42800</v>
      </c>
      <c r="B364" s="117" t="s">
        <v>127</v>
      </c>
      <c r="D364" s="352">
        <v>376270713997</v>
      </c>
      <c r="E364" s="81">
        <v>351215</v>
      </c>
      <c r="G364" s="97">
        <v>109.8</v>
      </c>
      <c r="H364" s="113">
        <v>2869424</v>
      </c>
      <c r="J364" s="211" t="s">
        <v>2160</v>
      </c>
    </row>
    <row r="365" spans="1:19" ht="13.9" x14ac:dyDescent="0.25">
      <c r="A365" s="213">
        <v>42803</v>
      </c>
      <c r="B365" s="117" t="s">
        <v>127</v>
      </c>
      <c r="D365" s="352">
        <v>376270713997</v>
      </c>
      <c r="E365" s="81">
        <v>351215</v>
      </c>
      <c r="G365" s="97">
        <v>92.67</v>
      </c>
      <c r="H365" s="113">
        <v>2883540</v>
      </c>
      <c r="J365" s="211" t="s">
        <v>2160</v>
      </c>
    </row>
    <row r="366" spans="1:19" ht="13.9" x14ac:dyDescent="0.25">
      <c r="A366" s="213">
        <v>42804</v>
      </c>
      <c r="B366" s="117" t="s">
        <v>127</v>
      </c>
      <c r="D366" s="352">
        <v>376270713997</v>
      </c>
      <c r="E366" s="81">
        <v>351215</v>
      </c>
      <c r="G366" s="97">
        <v>40</v>
      </c>
      <c r="H366" s="113">
        <v>2889723</v>
      </c>
      <c r="J366" s="211" t="s">
        <v>2160</v>
      </c>
    </row>
    <row r="367" spans="1:19" ht="13.9" x14ac:dyDescent="0.25">
      <c r="A367" s="213">
        <v>42807</v>
      </c>
      <c r="B367" s="117" t="s">
        <v>127</v>
      </c>
      <c r="C367" s="203"/>
      <c r="D367" s="60">
        <v>376270713997</v>
      </c>
      <c r="E367" s="113">
        <v>351215</v>
      </c>
      <c r="G367" s="97">
        <f>25.99+41.75</f>
        <v>67.739999999999995</v>
      </c>
      <c r="H367" s="113">
        <v>2896676</v>
      </c>
      <c r="J367" s="113" t="s">
        <v>2186</v>
      </c>
    </row>
    <row r="368" spans="1:19" ht="13.9" x14ac:dyDescent="0.25">
      <c r="A368" s="213">
        <v>42806</v>
      </c>
      <c r="B368" s="117" t="s">
        <v>127</v>
      </c>
      <c r="C368" s="203"/>
      <c r="D368" s="60">
        <v>376270713997</v>
      </c>
      <c r="E368" s="113">
        <v>351215</v>
      </c>
      <c r="G368" s="97">
        <v>52.2</v>
      </c>
      <c r="H368" s="113">
        <v>2891800</v>
      </c>
      <c r="J368" s="113" t="s">
        <v>273</v>
      </c>
    </row>
    <row r="369" spans="1:14" ht="13.9" x14ac:dyDescent="0.25">
      <c r="A369" s="213">
        <v>42806</v>
      </c>
      <c r="B369" s="117" t="s">
        <v>127</v>
      </c>
      <c r="C369" s="203"/>
      <c r="D369" s="60">
        <v>376270713997</v>
      </c>
      <c r="E369" s="113">
        <v>351215</v>
      </c>
      <c r="G369" s="97">
        <v>-15</v>
      </c>
      <c r="H369" s="113">
        <v>2846216</v>
      </c>
      <c r="J369" s="113" t="s">
        <v>273</v>
      </c>
    </row>
    <row r="370" spans="1:14" ht="13.9" x14ac:dyDescent="0.25">
      <c r="A370" s="213">
        <v>42806</v>
      </c>
      <c r="B370" s="117" t="s">
        <v>127</v>
      </c>
      <c r="C370" s="203"/>
      <c r="D370" s="60">
        <v>376270713997</v>
      </c>
      <c r="E370" s="113">
        <v>351215</v>
      </c>
      <c r="G370" s="97">
        <v>96.08</v>
      </c>
      <c r="H370" s="113">
        <v>2906382</v>
      </c>
      <c r="J370" s="113" t="s">
        <v>273</v>
      </c>
    </row>
    <row r="371" spans="1:14" ht="13.9" x14ac:dyDescent="0.25">
      <c r="A371" s="213">
        <v>42809</v>
      </c>
      <c r="B371" s="117" t="s">
        <v>127</v>
      </c>
      <c r="D371" s="60">
        <v>376214535993</v>
      </c>
      <c r="E371" s="113">
        <v>214122</v>
      </c>
      <c r="G371" s="97">
        <f>10+42.25</f>
        <v>52.25</v>
      </c>
      <c r="H371" s="113">
        <v>2903566</v>
      </c>
      <c r="J371" s="113" t="s">
        <v>2189</v>
      </c>
    </row>
    <row r="372" spans="1:14" ht="13.9" x14ac:dyDescent="0.25">
      <c r="A372" s="213">
        <v>42814</v>
      </c>
      <c r="B372" s="117" t="s">
        <v>127</v>
      </c>
      <c r="D372" s="60">
        <v>376270713997</v>
      </c>
      <c r="E372" s="113">
        <v>351215</v>
      </c>
      <c r="G372" s="97">
        <v>220</v>
      </c>
      <c r="H372" s="113">
        <v>2915061</v>
      </c>
      <c r="J372" s="190" t="s">
        <v>182</v>
      </c>
      <c r="K372" s="355"/>
      <c r="L372" s="355"/>
    </row>
    <row r="373" spans="1:14" ht="13.9" x14ac:dyDescent="0.25">
      <c r="A373" s="213">
        <v>42814</v>
      </c>
      <c r="B373" s="117" t="s">
        <v>127</v>
      </c>
      <c r="D373" s="60">
        <v>376270713997</v>
      </c>
      <c r="E373" s="113">
        <v>351215</v>
      </c>
      <c r="G373" s="97">
        <v>75.98</v>
      </c>
      <c r="H373" s="113">
        <v>2912078</v>
      </c>
      <c r="J373" s="190" t="s">
        <v>182</v>
      </c>
    </row>
    <row r="374" spans="1:14" ht="13.9" x14ac:dyDescent="0.25">
      <c r="A374" s="213">
        <v>42814</v>
      </c>
      <c r="B374" s="117" t="s">
        <v>127</v>
      </c>
      <c r="D374" s="60">
        <v>376270713997</v>
      </c>
      <c r="E374" s="113">
        <v>351215</v>
      </c>
      <c r="G374" s="97">
        <v>63</v>
      </c>
      <c r="H374" s="113">
        <v>2920747</v>
      </c>
      <c r="J374" s="190" t="s">
        <v>182</v>
      </c>
    </row>
    <row r="375" spans="1:14" ht="13.9" x14ac:dyDescent="0.25">
      <c r="A375" s="213">
        <v>42814</v>
      </c>
      <c r="B375" s="117" t="s">
        <v>127</v>
      </c>
      <c r="D375" s="60">
        <v>376270713997</v>
      </c>
      <c r="E375" s="113">
        <v>351215</v>
      </c>
      <c r="G375" s="97">
        <v>64</v>
      </c>
      <c r="H375" s="113">
        <v>2936713</v>
      </c>
      <c r="J375" s="190" t="s">
        <v>182</v>
      </c>
    </row>
    <row r="376" spans="1:14" ht="13.9" x14ac:dyDescent="0.25">
      <c r="A376" s="213">
        <v>42816</v>
      </c>
      <c r="B376" s="117" t="s">
        <v>127</v>
      </c>
      <c r="D376" s="60">
        <v>376274163991</v>
      </c>
      <c r="E376" s="111">
        <v>352706</v>
      </c>
      <c r="G376" s="101">
        <f>22.82+73.72</f>
        <v>96.539999999999992</v>
      </c>
      <c r="H376" s="113">
        <v>2924709</v>
      </c>
      <c r="J376" s="45" t="s">
        <v>2221</v>
      </c>
    </row>
    <row r="377" spans="1:14" ht="13.9" x14ac:dyDescent="0.25">
      <c r="A377" s="213">
        <v>42822</v>
      </c>
      <c r="B377" s="117" t="s">
        <v>127</v>
      </c>
      <c r="D377" s="60">
        <v>376270713997</v>
      </c>
      <c r="E377" s="111">
        <v>351215</v>
      </c>
      <c r="G377" s="101">
        <f>24.29+36.38</f>
        <v>60.67</v>
      </c>
      <c r="H377" s="113">
        <v>2946812</v>
      </c>
      <c r="J377" s="45" t="s">
        <v>2238</v>
      </c>
      <c r="K377" s="356"/>
      <c r="L377" s="356"/>
      <c r="M377" s="356"/>
      <c r="N377" s="356"/>
    </row>
    <row r="378" spans="1:14" ht="13.9" x14ac:dyDescent="0.25">
      <c r="A378" s="213">
        <v>42821</v>
      </c>
      <c r="B378" s="117" t="s">
        <v>127</v>
      </c>
      <c r="D378" s="60">
        <v>376270713997</v>
      </c>
      <c r="E378" s="111">
        <v>351215</v>
      </c>
      <c r="G378" s="101">
        <v>111</v>
      </c>
      <c r="H378" s="113">
        <v>2936614</v>
      </c>
      <c r="J378" s="45" t="s">
        <v>182</v>
      </c>
      <c r="K378" s="357"/>
    </row>
    <row r="379" spans="1:14" ht="13.9" x14ac:dyDescent="0.25">
      <c r="A379" s="213">
        <v>42821</v>
      </c>
      <c r="B379" s="117" t="s">
        <v>127</v>
      </c>
      <c r="D379" s="60">
        <v>376270713997</v>
      </c>
      <c r="E379" s="111">
        <v>351215</v>
      </c>
      <c r="G379" s="101">
        <v>88</v>
      </c>
      <c r="H379" s="113">
        <v>2938107</v>
      </c>
      <c r="J379" s="45" t="s">
        <v>182</v>
      </c>
    </row>
    <row r="380" spans="1:14" ht="13.9" x14ac:dyDescent="0.25">
      <c r="A380" s="213">
        <v>42821</v>
      </c>
      <c r="B380" s="117" t="s">
        <v>127</v>
      </c>
      <c r="D380" s="60">
        <v>376270713997</v>
      </c>
      <c r="E380" s="111">
        <v>351215</v>
      </c>
      <c r="G380" s="101">
        <v>36.58</v>
      </c>
      <c r="H380" s="113">
        <v>2935989</v>
      </c>
      <c r="J380" s="45" t="s">
        <v>182</v>
      </c>
    </row>
    <row r="381" spans="1:14" ht="13.9" x14ac:dyDescent="0.25">
      <c r="A381" s="213">
        <v>42822</v>
      </c>
      <c r="B381" s="117" t="s">
        <v>127</v>
      </c>
      <c r="D381" s="60">
        <v>376270713997</v>
      </c>
      <c r="E381" s="111">
        <v>351215</v>
      </c>
      <c r="G381" s="101">
        <v>132.68</v>
      </c>
      <c r="H381" s="113">
        <v>2941856</v>
      </c>
      <c r="J381" s="45" t="s">
        <v>182</v>
      </c>
    </row>
    <row r="382" spans="1:14" ht="13.9" x14ac:dyDescent="0.25">
      <c r="A382" s="213">
        <v>42822</v>
      </c>
      <c r="B382" s="117" t="s">
        <v>127</v>
      </c>
      <c r="D382" s="60">
        <v>376270713997</v>
      </c>
      <c r="E382" s="111">
        <v>351215</v>
      </c>
      <c r="G382" s="101">
        <v>125.36</v>
      </c>
      <c r="H382" s="113">
        <v>2945210</v>
      </c>
      <c r="J382" s="45" t="s">
        <v>182</v>
      </c>
    </row>
    <row r="383" spans="1:14" ht="13.9" x14ac:dyDescent="0.25">
      <c r="A383" s="213">
        <v>42822</v>
      </c>
      <c r="B383" s="117" t="s">
        <v>127</v>
      </c>
      <c r="D383" s="60">
        <v>376270713997</v>
      </c>
      <c r="E383" s="111">
        <v>351215</v>
      </c>
      <c r="G383" s="101">
        <v>118</v>
      </c>
      <c r="H383" s="113">
        <v>2944103</v>
      </c>
      <c r="J383" s="45" t="s">
        <v>182</v>
      </c>
    </row>
    <row r="384" spans="1:14" ht="13.9" x14ac:dyDescent="0.25">
      <c r="A384" s="213">
        <v>42825</v>
      </c>
      <c r="B384" s="117" t="s">
        <v>127</v>
      </c>
      <c r="D384" s="60">
        <v>376270713997</v>
      </c>
      <c r="E384" s="111">
        <v>351215</v>
      </c>
      <c r="G384" s="101">
        <v>90</v>
      </c>
      <c r="H384" s="113">
        <v>2955063</v>
      </c>
      <c r="J384" s="45" t="s">
        <v>182</v>
      </c>
    </row>
    <row r="385" spans="1:19" ht="13.9" x14ac:dyDescent="0.25">
      <c r="A385" s="213">
        <v>42823</v>
      </c>
      <c r="B385" s="117" t="s">
        <v>127</v>
      </c>
      <c r="D385" s="60">
        <v>37621453993</v>
      </c>
      <c r="E385" s="113">
        <v>214122</v>
      </c>
      <c r="G385" s="101">
        <f>11.1+21.85</f>
        <v>32.950000000000003</v>
      </c>
      <c r="H385" s="113">
        <v>2952165</v>
      </c>
      <c r="J385" s="45" t="s">
        <v>142</v>
      </c>
    </row>
    <row r="386" spans="1:19" ht="13.9" x14ac:dyDescent="0.25">
      <c r="A386" s="213">
        <v>42830</v>
      </c>
      <c r="B386" s="117" t="s">
        <v>127</v>
      </c>
      <c r="D386" s="60">
        <v>376270713997</v>
      </c>
      <c r="E386" s="111">
        <v>351215</v>
      </c>
      <c r="G386" s="101">
        <f>39.45+67.3</f>
        <v>106.75</v>
      </c>
      <c r="H386" s="113">
        <v>2966433</v>
      </c>
      <c r="J386" s="358" t="s">
        <v>2278</v>
      </c>
      <c r="K386" s="360"/>
      <c r="L386" s="360"/>
      <c r="M386" s="360"/>
      <c r="N386" s="360"/>
      <c r="O386" s="360"/>
    </row>
    <row r="387" spans="1:19" ht="13.9" x14ac:dyDescent="0.25">
      <c r="A387" s="213">
        <v>42830</v>
      </c>
      <c r="B387" s="117" t="s">
        <v>127</v>
      </c>
      <c r="D387" s="60">
        <v>376270713997</v>
      </c>
      <c r="E387" s="111">
        <v>351215</v>
      </c>
      <c r="G387" s="101">
        <f>43.73+87.53</f>
        <v>131.26</v>
      </c>
      <c r="H387" s="113">
        <v>2980000</v>
      </c>
      <c r="J387" s="358" t="s">
        <v>2278</v>
      </c>
    </row>
    <row r="388" spans="1:19" ht="13.9" x14ac:dyDescent="0.25">
      <c r="A388" s="213">
        <v>42830</v>
      </c>
      <c r="B388" s="117" t="s">
        <v>127</v>
      </c>
      <c r="D388" s="60">
        <v>376270713997</v>
      </c>
      <c r="E388" s="111">
        <v>351215</v>
      </c>
      <c r="G388" s="101">
        <v>52.68</v>
      </c>
      <c r="H388" s="113">
        <v>2967271</v>
      </c>
      <c r="J388" s="359" t="s">
        <v>182</v>
      </c>
    </row>
    <row r="389" spans="1:19" ht="13.9" x14ac:dyDescent="0.25">
      <c r="A389" s="213">
        <v>42830</v>
      </c>
      <c r="B389" s="117" t="s">
        <v>127</v>
      </c>
      <c r="D389" s="60">
        <v>376270713997</v>
      </c>
      <c r="E389" s="111">
        <v>351215</v>
      </c>
      <c r="G389" s="101">
        <v>58.61</v>
      </c>
      <c r="H389" s="113">
        <v>2977268</v>
      </c>
      <c r="J389" s="359" t="s">
        <v>182</v>
      </c>
    </row>
    <row r="390" spans="1:19" ht="13.9" x14ac:dyDescent="0.25">
      <c r="A390" s="213">
        <v>42830</v>
      </c>
      <c r="B390" s="117" t="s">
        <v>127</v>
      </c>
      <c r="D390" s="60">
        <v>376270713997</v>
      </c>
      <c r="E390" s="111">
        <v>351215</v>
      </c>
      <c r="G390" s="101">
        <v>118</v>
      </c>
      <c r="H390" s="113">
        <v>2964357</v>
      </c>
      <c r="J390" s="359" t="s">
        <v>182</v>
      </c>
    </row>
    <row r="391" spans="1:19" ht="13.9" x14ac:dyDescent="0.25">
      <c r="A391" s="213">
        <v>42830</v>
      </c>
      <c r="B391" s="117" t="s">
        <v>127</v>
      </c>
      <c r="D391" s="60">
        <v>3796214535993</v>
      </c>
      <c r="E391" s="111">
        <v>214122</v>
      </c>
      <c r="G391" s="101">
        <f>10.38+111.52</f>
        <v>121.89999999999999</v>
      </c>
      <c r="H391" s="113">
        <v>2975220</v>
      </c>
      <c r="J391" s="358" t="s">
        <v>142</v>
      </c>
    </row>
    <row r="392" spans="1:19" ht="14.45" x14ac:dyDescent="0.3">
      <c r="A392" s="368">
        <v>42835</v>
      </c>
      <c r="B392" s="323" t="s">
        <v>127</v>
      </c>
      <c r="C392" s="323"/>
      <c r="D392" s="60" t="s">
        <v>181</v>
      </c>
      <c r="E392" s="111">
        <v>351215</v>
      </c>
      <c r="F392" s="314"/>
      <c r="G392" s="101">
        <v>115.04</v>
      </c>
      <c r="H392" s="113">
        <v>2989612</v>
      </c>
      <c r="I392" s="2"/>
      <c r="J392" s="359" t="s">
        <v>182</v>
      </c>
    </row>
    <row r="393" spans="1:19" ht="14.45" x14ac:dyDescent="0.3">
      <c r="A393" s="321">
        <v>42835</v>
      </c>
      <c r="B393" s="323" t="s">
        <v>127</v>
      </c>
      <c r="C393" s="323"/>
      <c r="D393" s="60" t="s">
        <v>181</v>
      </c>
      <c r="E393" s="111">
        <v>351215</v>
      </c>
      <c r="F393" s="314"/>
      <c r="G393" s="101">
        <v>135.47</v>
      </c>
      <c r="H393" s="113">
        <v>2989724</v>
      </c>
      <c r="I393" s="2"/>
      <c r="J393" s="359" t="s">
        <v>182</v>
      </c>
    </row>
    <row r="394" spans="1:19" ht="14.45" x14ac:dyDescent="0.3">
      <c r="A394" s="321">
        <v>42839</v>
      </c>
      <c r="B394" s="323" t="s">
        <v>127</v>
      </c>
      <c r="C394" s="323"/>
      <c r="D394" s="60" t="s">
        <v>181</v>
      </c>
      <c r="E394" s="111">
        <v>351215</v>
      </c>
      <c r="F394" s="314"/>
      <c r="G394" s="101">
        <v>90.95</v>
      </c>
      <c r="H394" s="113">
        <v>2997268</v>
      </c>
      <c r="I394" s="2"/>
      <c r="J394" s="359" t="s">
        <v>182</v>
      </c>
    </row>
    <row r="395" spans="1:19" ht="14.45" x14ac:dyDescent="0.3">
      <c r="A395" s="321">
        <v>42837</v>
      </c>
      <c r="B395" s="323" t="s">
        <v>127</v>
      </c>
      <c r="C395" s="323"/>
      <c r="D395" s="60" t="s">
        <v>2130</v>
      </c>
      <c r="E395" s="111">
        <v>214122</v>
      </c>
      <c r="F395" s="314"/>
      <c r="G395" s="101">
        <f>10+42.25</f>
        <v>52.25</v>
      </c>
      <c r="H395" s="113">
        <v>3002581</v>
      </c>
      <c r="I395" s="2"/>
      <c r="J395" s="2" t="s">
        <v>142</v>
      </c>
    </row>
    <row r="396" spans="1:19" ht="14.45" x14ac:dyDescent="0.3">
      <c r="A396" s="321">
        <v>42839</v>
      </c>
      <c r="B396" s="323" t="s">
        <v>127</v>
      </c>
      <c r="C396" s="323"/>
      <c r="D396" s="60" t="s">
        <v>2130</v>
      </c>
      <c r="E396" s="111">
        <v>214122</v>
      </c>
      <c r="F396" s="314"/>
      <c r="G396" s="101">
        <f>1.27+52.68</f>
        <v>53.95</v>
      </c>
      <c r="H396" s="113">
        <v>3011460</v>
      </c>
      <c r="I396" s="2"/>
      <c r="J396" s="2" t="s">
        <v>142</v>
      </c>
    </row>
    <row r="397" spans="1:19" ht="14.45" x14ac:dyDescent="0.3">
      <c r="A397" s="321">
        <v>42838</v>
      </c>
      <c r="B397" s="323" t="s">
        <v>127</v>
      </c>
      <c r="C397" s="323"/>
      <c r="D397" s="60" t="s">
        <v>1248</v>
      </c>
      <c r="E397" s="111">
        <v>222695</v>
      </c>
      <c r="F397" s="314"/>
      <c r="G397" s="101">
        <v>62.5</v>
      </c>
      <c r="H397" s="113">
        <v>3008299</v>
      </c>
      <c r="I397" s="2"/>
      <c r="J397" s="359" t="s">
        <v>182</v>
      </c>
    </row>
    <row r="398" spans="1:19" s="409" customFormat="1" ht="14.45" x14ac:dyDescent="0.3">
      <c r="A398" s="368">
        <v>42842.114861111113</v>
      </c>
      <c r="B398" s="327" t="s">
        <v>127</v>
      </c>
      <c r="C398" s="327"/>
      <c r="D398" s="581" t="s">
        <v>181</v>
      </c>
      <c r="E398" s="426">
        <v>351215</v>
      </c>
      <c r="F398" s="383"/>
      <c r="G398" s="578">
        <v>76.06</v>
      </c>
      <c r="H398" s="426">
        <v>3009997</v>
      </c>
      <c r="I398" s="328"/>
      <c r="J398" s="579" t="s">
        <v>182</v>
      </c>
      <c r="K398" s="328"/>
      <c r="L398" s="328"/>
      <c r="M398" s="328"/>
      <c r="N398" s="328"/>
      <c r="O398" s="328"/>
      <c r="P398" s="328"/>
      <c r="Q398" s="328"/>
      <c r="R398" s="328"/>
      <c r="S398" s="328"/>
    </row>
    <row r="399" spans="1:19" s="409" customFormat="1" ht="14.45" x14ac:dyDescent="0.3">
      <c r="A399" s="368">
        <v>42843.062071759261</v>
      </c>
      <c r="B399" s="327" t="s">
        <v>127</v>
      </c>
      <c r="C399" s="327"/>
      <c r="D399" s="581" t="s">
        <v>181</v>
      </c>
      <c r="E399" s="426">
        <v>351215</v>
      </c>
      <c r="F399" s="383"/>
      <c r="G399" s="578">
        <v>124</v>
      </c>
      <c r="H399" s="426">
        <v>3018452</v>
      </c>
      <c r="I399" s="328"/>
      <c r="J399" s="579" t="s">
        <v>182</v>
      </c>
      <c r="K399" s="328"/>
      <c r="L399" s="328"/>
      <c r="M399" s="328"/>
      <c r="N399" s="328"/>
      <c r="O399" s="328"/>
      <c r="P399" s="328"/>
      <c r="Q399" s="328"/>
      <c r="R399" s="328"/>
      <c r="S399" s="328"/>
    </row>
    <row r="400" spans="1:19" s="409" customFormat="1" ht="14.45" x14ac:dyDescent="0.3">
      <c r="A400" s="368">
        <v>42844.222013888888</v>
      </c>
      <c r="B400" s="327" t="s">
        <v>127</v>
      </c>
      <c r="C400" s="327"/>
      <c r="D400" s="581" t="s">
        <v>181</v>
      </c>
      <c r="E400" s="426">
        <v>351215</v>
      </c>
      <c r="F400" s="383"/>
      <c r="G400" s="578">
        <v>54.89</v>
      </c>
      <c r="H400" s="426">
        <v>3026859</v>
      </c>
      <c r="I400" s="328"/>
      <c r="J400" s="579" t="s">
        <v>182</v>
      </c>
      <c r="K400" s="328"/>
      <c r="L400" s="328"/>
      <c r="M400" s="328"/>
      <c r="N400" s="328"/>
      <c r="O400" s="328"/>
      <c r="P400" s="328"/>
      <c r="Q400" s="328"/>
      <c r="R400" s="328"/>
      <c r="S400" s="328"/>
    </row>
    <row r="401" spans="1:19" s="409" customFormat="1" ht="14.45" x14ac:dyDescent="0.3">
      <c r="A401" s="368">
        <v>42844.42732638889</v>
      </c>
      <c r="B401" s="327" t="s">
        <v>127</v>
      </c>
      <c r="C401" s="327"/>
      <c r="D401" s="581" t="s">
        <v>181</v>
      </c>
      <c r="E401" s="426">
        <v>351215</v>
      </c>
      <c r="F401" s="383"/>
      <c r="G401" s="578">
        <v>97.47</v>
      </c>
      <c r="H401" s="426">
        <v>3025902</v>
      </c>
      <c r="I401" s="328"/>
      <c r="J401" s="579" t="s">
        <v>182</v>
      </c>
      <c r="K401" s="328"/>
      <c r="L401" s="328"/>
      <c r="M401" s="328"/>
      <c r="N401" s="328"/>
      <c r="O401" s="328"/>
      <c r="P401" s="328"/>
      <c r="Q401" s="328"/>
      <c r="R401" s="328"/>
      <c r="S401" s="328"/>
    </row>
    <row r="402" spans="1:19" ht="14.45" x14ac:dyDescent="0.3">
      <c r="A402" s="321">
        <v>42850</v>
      </c>
      <c r="B402" s="323" t="s">
        <v>127</v>
      </c>
      <c r="C402" s="323"/>
      <c r="D402" s="392" t="s">
        <v>181</v>
      </c>
      <c r="E402" s="387">
        <v>351215</v>
      </c>
      <c r="F402" s="553"/>
      <c r="G402" s="578">
        <v>117.9</v>
      </c>
      <c r="H402" s="532">
        <v>3046813</v>
      </c>
      <c r="I402" s="2"/>
      <c r="J402" s="323" t="s">
        <v>2573</v>
      </c>
    </row>
    <row r="403" spans="1:19" ht="14.45" x14ac:dyDescent="0.3">
      <c r="A403" s="321">
        <v>42851</v>
      </c>
      <c r="B403" s="323" t="s">
        <v>127</v>
      </c>
      <c r="C403" s="323"/>
      <c r="D403" s="392" t="s">
        <v>181</v>
      </c>
      <c r="E403" s="387">
        <v>351215</v>
      </c>
      <c r="F403" s="553"/>
      <c r="G403" s="578">
        <v>173.19</v>
      </c>
      <c r="H403" s="532">
        <v>3053965</v>
      </c>
      <c r="I403" s="2"/>
      <c r="J403" s="323" t="s">
        <v>2573</v>
      </c>
    </row>
    <row r="404" spans="1:19" ht="14.45" x14ac:dyDescent="0.3">
      <c r="A404" s="321">
        <v>42851</v>
      </c>
      <c r="B404" s="323" t="s">
        <v>127</v>
      </c>
      <c r="C404" s="323"/>
      <c r="D404" s="392" t="s">
        <v>181</v>
      </c>
      <c r="E404" s="387">
        <v>351215</v>
      </c>
      <c r="F404" s="553"/>
      <c r="G404" s="578">
        <v>65</v>
      </c>
      <c r="H404" s="532">
        <v>3054269</v>
      </c>
      <c r="I404" s="2"/>
      <c r="J404" s="323" t="s">
        <v>2573</v>
      </c>
    </row>
    <row r="405" spans="1:19" ht="14.45" x14ac:dyDescent="0.3">
      <c r="A405" s="321">
        <v>42851</v>
      </c>
      <c r="B405" s="323" t="s">
        <v>127</v>
      </c>
      <c r="C405" s="323"/>
      <c r="D405" s="392" t="s">
        <v>181</v>
      </c>
      <c r="E405" s="387">
        <v>351215</v>
      </c>
      <c r="F405" s="553"/>
      <c r="G405" s="578">
        <v>128.07</v>
      </c>
      <c r="H405" s="532">
        <v>3053211</v>
      </c>
      <c r="I405" s="2"/>
      <c r="J405" s="323" t="s">
        <v>2573</v>
      </c>
    </row>
    <row r="406" spans="1:19" ht="14.45" x14ac:dyDescent="0.3">
      <c r="A406" s="321">
        <v>42852</v>
      </c>
      <c r="B406" s="323" t="s">
        <v>127</v>
      </c>
      <c r="C406" s="323"/>
      <c r="D406" s="392" t="s">
        <v>181</v>
      </c>
      <c r="E406" s="387">
        <v>351215</v>
      </c>
      <c r="F406" s="553"/>
      <c r="G406" s="578">
        <v>106.2</v>
      </c>
      <c r="H406" s="532">
        <v>3058386</v>
      </c>
      <c r="I406" s="2"/>
      <c r="J406" s="323" t="s">
        <v>2573</v>
      </c>
    </row>
    <row r="407" spans="1:19" ht="14.45" x14ac:dyDescent="0.3">
      <c r="A407" s="321">
        <v>42853</v>
      </c>
      <c r="B407" s="323" t="s">
        <v>127</v>
      </c>
      <c r="C407" s="323"/>
      <c r="D407" s="392" t="s">
        <v>2574</v>
      </c>
      <c r="E407" s="387">
        <v>352823</v>
      </c>
      <c r="F407" s="553"/>
      <c r="G407" s="578">
        <f>21.52+29.8</f>
        <v>51.32</v>
      </c>
      <c r="H407" s="532">
        <v>3069117</v>
      </c>
      <c r="I407" s="2"/>
      <c r="J407" s="323" t="s">
        <v>2573</v>
      </c>
    </row>
    <row r="408" spans="1:19" s="562" customFormat="1" ht="14.45" x14ac:dyDescent="0.3">
      <c r="A408" s="321">
        <v>42856</v>
      </c>
      <c r="B408" s="323" t="s">
        <v>127</v>
      </c>
      <c r="C408" s="323"/>
      <c r="D408" s="392" t="s">
        <v>181</v>
      </c>
      <c r="E408" s="387">
        <v>351215</v>
      </c>
      <c r="F408" s="553"/>
      <c r="G408" s="578">
        <v>64</v>
      </c>
      <c r="H408" s="532">
        <v>3074194</v>
      </c>
      <c r="I408" s="2"/>
      <c r="J408" s="323" t="s">
        <v>182</v>
      </c>
      <c r="K408" s="2"/>
      <c r="L408" s="2"/>
      <c r="M408" s="2"/>
      <c r="N408" s="2"/>
      <c r="O408" s="2"/>
      <c r="P408" s="2"/>
      <c r="Q408" s="2"/>
      <c r="R408" s="2"/>
      <c r="S408" s="2"/>
    </row>
    <row r="409" spans="1:19" s="562" customFormat="1" ht="14.45" x14ac:dyDescent="0.3">
      <c r="A409" s="321">
        <v>42856</v>
      </c>
      <c r="B409" s="323" t="s">
        <v>127</v>
      </c>
      <c r="C409" s="323"/>
      <c r="D409" s="392" t="s">
        <v>181</v>
      </c>
      <c r="E409" s="387">
        <v>351215</v>
      </c>
      <c r="F409" s="553"/>
      <c r="G409" s="578">
        <v>73.14</v>
      </c>
      <c r="H409" s="532">
        <v>3071045</v>
      </c>
      <c r="I409" s="2"/>
      <c r="J409" s="323" t="s">
        <v>182</v>
      </c>
      <c r="K409" s="2"/>
      <c r="L409" s="2"/>
      <c r="M409" s="2"/>
      <c r="N409" s="2"/>
      <c r="O409" s="2"/>
      <c r="P409" s="2"/>
      <c r="Q409" s="2"/>
      <c r="R409" s="2"/>
      <c r="S409" s="2"/>
    </row>
    <row r="410" spans="1:19" s="562" customFormat="1" ht="14.45" x14ac:dyDescent="0.3">
      <c r="A410" s="321">
        <v>42857</v>
      </c>
      <c r="B410" s="323" t="s">
        <v>127</v>
      </c>
      <c r="C410" s="323"/>
      <c r="D410" s="392" t="s">
        <v>181</v>
      </c>
      <c r="E410" s="387">
        <v>351215</v>
      </c>
      <c r="F410" s="553"/>
      <c r="G410" s="578">
        <v>237</v>
      </c>
      <c r="H410" s="532">
        <v>3077615</v>
      </c>
      <c r="I410" s="2"/>
      <c r="J410" s="323" t="s">
        <v>182</v>
      </c>
      <c r="K410" s="2"/>
      <c r="L410" s="2"/>
      <c r="M410" s="2"/>
      <c r="N410" s="2"/>
      <c r="O410" s="2"/>
      <c r="P410" s="2"/>
      <c r="Q410" s="2"/>
      <c r="R410" s="2"/>
      <c r="S410" s="2"/>
    </row>
    <row r="411" spans="1:19" s="562" customFormat="1" ht="14.45" x14ac:dyDescent="0.3">
      <c r="A411" s="321">
        <v>42857</v>
      </c>
      <c r="B411" s="323" t="s">
        <v>127</v>
      </c>
      <c r="C411" s="323"/>
      <c r="D411" s="392" t="s">
        <v>181</v>
      </c>
      <c r="E411" s="387">
        <v>351215</v>
      </c>
      <c r="F411" s="553"/>
      <c r="G411" s="578">
        <v>134.85</v>
      </c>
      <c r="H411" s="532">
        <v>3077118</v>
      </c>
      <c r="I411" s="2"/>
      <c r="J411" s="323" t="s">
        <v>182</v>
      </c>
      <c r="K411" s="2"/>
      <c r="L411" s="2"/>
      <c r="M411" s="2"/>
      <c r="N411" s="2"/>
      <c r="O411" s="2"/>
      <c r="P411" s="2"/>
      <c r="Q411" s="2"/>
      <c r="R411" s="2"/>
      <c r="S411" s="2"/>
    </row>
    <row r="412" spans="1:19" s="562" customFormat="1" ht="14.45" x14ac:dyDescent="0.3">
      <c r="A412" s="321">
        <v>42857</v>
      </c>
      <c r="B412" s="323" t="s">
        <v>127</v>
      </c>
      <c r="C412" s="323"/>
      <c r="D412" s="392" t="s">
        <v>181</v>
      </c>
      <c r="E412" s="387">
        <v>351215</v>
      </c>
      <c r="F412" s="553"/>
      <c r="G412" s="578">
        <v>70.52</v>
      </c>
      <c r="H412" s="532">
        <v>3080265</v>
      </c>
      <c r="I412" s="2"/>
      <c r="J412" s="323" t="s">
        <v>182</v>
      </c>
      <c r="K412" s="2"/>
      <c r="L412" s="2"/>
      <c r="M412" s="2"/>
      <c r="N412" s="2"/>
      <c r="O412" s="2"/>
      <c r="P412" s="2"/>
      <c r="Q412" s="2"/>
      <c r="R412" s="2"/>
      <c r="S412" s="2"/>
    </row>
    <row r="413" spans="1:19" s="562" customFormat="1" ht="14.45" x14ac:dyDescent="0.3">
      <c r="A413" s="321">
        <v>42863</v>
      </c>
      <c r="B413" s="323" t="s">
        <v>127</v>
      </c>
      <c r="C413" s="323"/>
      <c r="D413" s="392" t="s">
        <v>2574</v>
      </c>
      <c r="E413" s="387">
        <v>352823</v>
      </c>
      <c r="F413" s="553"/>
      <c r="G413" s="578">
        <f>54.87+91.46</f>
        <v>146.32999999999998</v>
      </c>
      <c r="H413" s="532">
        <v>3094087</v>
      </c>
      <c r="I413" s="2"/>
      <c r="J413" s="323" t="s">
        <v>182</v>
      </c>
      <c r="K413" s="2"/>
      <c r="L413" s="2"/>
      <c r="M413" s="2"/>
      <c r="N413" s="2"/>
      <c r="O413" s="2"/>
      <c r="P413" s="2"/>
      <c r="Q413" s="2"/>
      <c r="R413" s="2"/>
      <c r="S413" s="2"/>
    </row>
    <row r="414" spans="1:19" s="562" customFormat="1" ht="14.45" x14ac:dyDescent="0.3">
      <c r="A414" s="321">
        <v>42863</v>
      </c>
      <c r="B414" s="323" t="s">
        <v>127</v>
      </c>
      <c r="C414" s="323"/>
      <c r="D414" s="392" t="s">
        <v>181</v>
      </c>
      <c r="E414" s="387">
        <v>351215</v>
      </c>
      <c r="F414" s="553"/>
      <c r="G414" s="578">
        <v>133.9</v>
      </c>
      <c r="H414" s="532">
        <v>3093629</v>
      </c>
      <c r="I414" s="2"/>
      <c r="J414" s="323" t="s">
        <v>182</v>
      </c>
      <c r="K414" s="2"/>
      <c r="L414" s="2"/>
      <c r="M414" s="2"/>
      <c r="N414" s="2"/>
      <c r="O414" s="2"/>
      <c r="P414" s="2"/>
      <c r="Q414" s="2"/>
      <c r="R414" s="2"/>
      <c r="S414" s="2"/>
    </row>
    <row r="415" spans="1:19" s="562" customFormat="1" ht="14.45" x14ac:dyDescent="0.3">
      <c r="A415" s="321">
        <v>42863</v>
      </c>
      <c r="B415" s="323" t="s">
        <v>127</v>
      </c>
      <c r="C415" s="323"/>
      <c r="D415" s="392" t="s">
        <v>181</v>
      </c>
      <c r="E415" s="387">
        <v>351215</v>
      </c>
      <c r="F415" s="553"/>
      <c r="G415" s="578">
        <v>36.58</v>
      </c>
      <c r="H415" s="532">
        <v>3097403</v>
      </c>
      <c r="I415" s="2"/>
      <c r="J415" s="323" t="s">
        <v>182</v>
      </c>
      <c r="K415" s="2"/>
      <c r="L415" s="2"/>
      <c r="M415" s="2"/>
      <c r="N415" s="2"/>
      <c r="O415" s="2"/>
      <c r="P415" s="2"/>
      <c r="Q415" s="2"/>
      <c r="R415" s="2"/>
      <c r="S415" s="2"/>
    </row>
    <row r="416" spans="1:19" s="562" customFormat="1" ht="14.45" x14ac:dyDescent="0.3">
      <c r="A416" s="321">
        <v>42863</v>
      </c>
      <c r="B416" s="323" t="s">
        <v>127</v>
      </c>
      <c r="C416" s="323"/>
      <c r="D416" s="392" t="s">
        <v>181</v>
      </c>
      <c r="E416" s="387">
        <v>351215</v>
      </c>
      <c r="F416" s="553"/>
      <c r="G416" s="578">
        <v>163.08000000000001</v>
      </c>
      <c r="H416" s="532">
        <v>3101770</v>
      </c>
      <c r="I416" s="2"/>
      <c r="J416" s="323" t="s">
        <v>182</v>
      </c>
      <c r="K416" s="2"/>
      <c r="L416" s="2"/>
      <c r="M416" s="2"/>
      <c r="N416" s="2"/>
      <c r="O416" s="2"/>
      <c r="P416" s="2"/>
      <c r="Q416" s="2"/>
      <c r="R416" s="2"/>
      <c r="S416" s="2"/>
    </row>
    <row r="417" spans="1:19" s="562" customFormat="1" ht="14.45" x14ac:dyDescent="0.3">
      <c r="A417" s="321">
        <v>42865</v>
      </c>
      <c r="B417" s="323" t="s">
        <v>127</v>
      </c>
      <c r="C417" s="323"/>
      <c r="D417" s="392" t="s">
        <v>181</v>
      </c>
      <c r="E417" s="387">
        <v>351215</v>
      </c>
      <c r="F417" s="553"/>
      <c r="G417" s="578">
        <v>104.64</v>
      </c>
      <c r="H417" s="532">
        <v>3109380</v>
      </c>
      <c r="I417" s="2"/>
      <c r="J417" s="323" t="s">
        <v>182</v>
      </c>
      <c r="K417" s="2"/>
      <c r="L417" s="2"/>
      <c r="M417" s="2"/>
      <c r="N417" s="2"/>
      <c r="O417" s="2"/>
      <c r="P417" s="2"/>
      <c r="Q417" s="2"/>
      <c r="R417" s="2"/>
      <c r="S417" s="2"/>
    </row>
    <row r="418" spans="1:19" s="562" customFormat="1" ht="14.45" x14ac:dyDescent="0.3">
      <c r="A418" s="321">
        <v>42866</v>
      </c>
      <c r="B418" s="323" t="s">
        <v>127</v>
      </c>
      <c r="C418" s="323"/>
      <c r="D418" s="392" t="s">
        <v>181</v>
      </c>
      <c r="E418" s="387">
        <v>351215</v>
      </c>
      <c r="F418" s="553"/>
      <c r="G418" s="578">
        <v>131.1</v>
      </c>
      <c r="H418" s="532">
        <v>3115617</v>
      </c>
      <c r="I418" s="2"/>
      <c r="J418" s="323" t="s">
        <v>182</v>
      </c>
      <c r="K418" s="2"/>
      <c r="L418" s="2"/>
      <c r="M418" s="2"/>
      <c r="N418" s="2"/>
      <c r="O418" s="2"/>
      <c r="P418" s="2"/>
      <c r="Q418" s="2"/>
      <c r="R418" s="2"/>
      <c r="S418" s="2"/>
    </row>
    <row r="419" spans="1:19" s="562" customFormat="1" ht="14.45" x14ac:dyDescent="0.3">
      <c r="A419" s="321">
        <v>42865</v>
      </c>
      <c r="B419" s="323" t="s">
        <v>127</v>
      </c>
      <c r="C419" s="323"/>
      <c r="D419" s="392" t="s">
        <v>2130</v>
      </c>
      <c r="E419" s="387">
        <v>214122</v>
      </c>
      <c r="F419" s="553"/>
      <c r="G419" s="578">
        <f>10+57.2</f>
        <v>67.2</v>
      </c>
      <c r="H419" s="532">
        <v>3116236</v>
      </c>
      <c r="I419" s="2"/>
      <c r="J419" s="323" t="s">
        <v>179</v>
      </c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5" x14ac:dyDescent="0.3">
      <c r="A420" s="321">
        <v>42871</v>
      </c>
      <c r="B420" s="323" t="s">
        <v>127</v>
      </c>
      <c r="C420" s="323"/>
      <c r="D420" s="392" t="s">
        <v>2574</v>
      </c>
      <c r="E420" s="387">
        <v>352823</v>
      </c>
      <c r="F420" s="553"/>
      <c r="G420" s="578">
        <f>146.08+31.49</f>
        <v>177.57000000000002</v>
      </c>
      <c r="H420" s="532">
        <v>3114670</v>
      </c>
      <c r="I420" s="2"/>
      <c r="J420" s="323" t="s">
        <v>2773</v>
      </c>
    </row>
    <row r="421" spans="1:19" ht="14.45" x14ac:dyDescent="0.3">
      <c r="A421" s="321">
        <v>42870.261041666665</v>
      </c>
      <c r="B421" s="323" t="s">
        <v>127</v>
      </c>
      <c r="C421" s="323"/>
      <c r="D421" s="392" t="s">
        <v>181</v>
      </c>
      <c r="E421" s="387">
        <v>351215</v>
      </c>
      <c r="F421" s="553"/>
      <c r="G421" s="578">
        <v>69.599999999999994</v>
      </c>
      <c r="H421" s="532">
        <v>3133838</v>
      </c>
      <c r="I421" s="2"/>
      <c r="J421" s="323" t="s">
        <v>2773</v>
      </c>
    </row>
    <row r="422" spans="1:19" ht="14.45" x14ac:dyDescent="0.3">
      <c r="A422" s="321">
        <v>42871.472083333334</v>
      </c>
      <c r="B422" s="323" t="s">
        <v>127</v>
      </c>
      <c r="C422" s="323"/>
      <c r="D422" s="392" t="s">
        <v>181</v>
      </c>
      <c r="E422" s="387">
        <v>351215</v>
      </c>
      <c r="F422" s="553"/>
      <c r="G422" s="578">
        <v>132.68</v>
      </c>
      <c r="H422" s="532">
        <v>3129932</v>
      </c>
      <c r="I422" s="2"/>
      <c r="J422" s="323" t="s">
        <v>2773</v>
      </c>
    </row>
    <row r="423" spans="1:19" ht="14.45" x14ac:dyDescent="0.3">
      <c r="A423" s="321">
        <v>42874.044942129629</v>
      </c>
      <c r="B423" s="323" t="s">
        <v>127</v>
      </c>
      <c r="C423" s="323"/>
      <c r="D423" s="392" t="s">
        <v>181</v>
      </c>
      <c r="E423" s="387">
        <v>351215</v>
      </c>
      <c r="F423" s="553"/>
      <c r="G423" s="578">
        <v>186.82</v>
      </c>
      <c r="H423" s="532">
        <v>3148964</v>
      </c>
      <c r="I423" s="2"/>
      <c r="J423" s="323" t="s">
        <v>2773</v>
      </c>
    </row>
    <row r="424" spans="1:19" ht="14.45" x14ac:dyDescent="0.3">
      <c r="A424" s="321">
        <v>42874.146319444444</v>
      </c>
      <c r="B424" s="323" t="s">
        <v>127</v>
      </c>
      <c r="C424" s="323"/>
      <c r="D424" s="392" t="s">
        <v>181</v>
      </c>
      <c r="E424" s="387">
        <v>351215</v>
      </c>
      <c r="F424" s="553"/>
      <c r="G424" s="578">
        <v>212</v>
      </c>
      <c r="H424" s="532">
        <v>3147664</v>
      </c>
      <c r="I424" s="2"/>
      <c r="J424" s="323" t="s">
        <v>2773</v>
      </c>
    </row>
    <row r="425" spans="1:19" ht="14.45" x14ac:dyDescent="0.3">
      <c r="A425" s="321">
        <v>42874.501226851855</v>
      </c>
      <c r="B425" s="323" t="s">
        <v>127</v>
      </c>
      <c r="C425" s="323"/>
      <c r="D425" s="392" t="s">
        <v>181</v>
      </c>
      <c r="E425" s="387">
        <v>351215</v>
      </c>
      <c r="F425" s="553"/>
      <c r="G425" s="578">
        <v>75.98</v>
      </c>
      <c r="H425" s="532">
        <v>3147993</v>
      </c>
      <c r="I425" s="2"/>
      <c r="J425" s="323" t="s">
        <v>2773</v>
      </c>
    </row>
    <row r="426" spans="1:19" ht="14.45" x14ac:dyDescent="0.3">
      <c r="A426" s="321">
        <v>42871</v>
      </c>
      <c r="B426" s="323" t="s">
        <v>127</v>
      </c>
      <c r="C426" s="323"/>
      <c r="D426" s="392" t="s">
        <v>2774</v>
      </c>
      <c r="E426" s="387">
        <v>352706</v>
      </c>
      <c r="F426" s="553"/>
      <c r="G426" s="578">
        <v>96.54</v>
      </c>
      <c r="H426" s="532">
        <v>3139346</v>
      </c>
      <c r="I426" s="2"/>
      <c r="J426" s="323" t="s">
        <v>2775</v>
      </c>
    </row>
    <row r="427" spans="1:19" ht="14.45" x14ac:dyDescent="0.3">
      <c r="A427" s="321">
        <v>42873</v>
      </c>
      <c r="B427" s="323" t="s">
        <v>127</v>
      </c>
      <c r="C427" s="323"/>
      <c r="D427" s="392" t="s">
        <v>2130</v>
      </c>
      <c r="E427" s="387">
        <v>214122</v>
      </c>
      <c r="F427" s="553"/>
      <c r="G427" s="578">
        <v>32.950000000000003</v>
      </c>
      <c r="H427" s="532">
        <v>3143210</v>
      </c>
      <c r="I427" s="2"/>
      <c r="J427" s="323" t="s">
        <v>2776</v>
      </c>
    </row>
    <row r="428" spans="1:19" s="562" customFormat="1" ht="14.45" x14ac:dyDescent="0.3">
      <c r="A428" s="321">
        <v>42877</v>
      </c>
      <c r="B428" s="323" t="s">
        <v>127</v>
      </c>
      <c r="C428" s="323"/>
      <c r="D428" s="392" t="s">
        <v>181</v>
      </c>
      <c r="E428" s="387">
        <v>351215</v>
      </c>
      <c r="F428" s="553"/>
      <c r="G428" s="578">
        <f>43.2+85.5</f>
        <v>128.69999999999999</v>
      </c>
      <c r="H428" s="532">
        <v>3156568</v>
      </c>
      <c r="I428" s="2"/>
      <c r="J428" s="323" t="s">
        <v>2777</v>
      </c>
      <c r="K428" s="2"/>
      <c r="L428" s="2"/>
      <c r="M428" s="2"/>
      <c r="N428" s="2"/>
      <c r="O428" s="2"/>
      <c r="P428" s="2"/>
      <c r="Q428" s="2"/>
      <c r="R428" s="2"/>
      <c r="S428" s="2"/>
    </row>
    <row r="429" spans="1:19" s="562" customFormat="1" ht="14.45" x14ac:dyDescent="0.3">
      <c r="A429" s="321">
        <v>42879.097557870373</v>
      </c>
      <c r="B429" s="323" t="s">
        <v>127</v>
      </c>
      <c r="C429" s="323"/>
      <c r="D429" s="392" t="s">
        <v>181</v>
      </c>
      <c r="E429" s="387">
        <v>351215</v>
      </c>
      <c r="F429" s="553"/>
      <c r="G429" s="578">
        <v>90.95</v>
      </c>
      <c r="H429" s="532">
        <v>3163434</v>
      </c>
      <c r="I429" s="2"/>
      <c r="J429" s="323" t="s">
        <v>2773</v>
      </c>
      <c r="K429" s="2"/>
      <c r="L429" s="2"/>
      <c r="M429" s="2"/>
      <c r="N429" s="2"/>
      <c r="O429" s="2"/>
      <c r="P429" s="2"/>
      <c r="Q429" s="2"/>
      <c r="R429" s="2"/>
      <c r="S429" s="2"/>
    </row>
    <row r="430" spans="1:19" s="562" customFormat="1" ht="14.45" x14ac:dyDescent="0.3">
      <c r="A430" s="321">
        <v>42880.090821759259</v>
      </c>
      <c r="B430" s="323" t="s">
        <v>127</v>
      </c>
      <c r="C430" s="323"/>
      <c r="D430" s="392" t="s">
        <v>181</v>
      </c>
      <c r="E430" s="387">
        <v>351215</v>
      </c>
      <c r="F430" s="553"/>
      <c r="G430" s="578">
        <v>53</v>
      </c>
      <c r="H430" s="532">
        <v>3175053</v>
      </c>
      <c r="I430" s="2"/>
      <c r="J430" s="323" t="s">
        <v>2773</v>
      </c>
      <c r="K430" s="2"/>
      <c r="L430" s="2"/>
      <c r="M430" s="2"/>
      <c r="N430" s="2"/>
      <c r="O430" s="2"/>
      <c r="P430" s="2"/>
      <c r="Q430" s="2"/>
      <c r="R430" s="2"/>
      <c r="S430" s="2"/>
    </row>
    <row r="431" spans="1:19" s="562" customFormat="1" ht="14.45" x14ac:dyDescent="0.3">
      <c r="A431" s="321">
        <v>42880.374293981484</v>
      </c>
      <c r="B431" s="323" t="s">
        <v>127</v>
      </c>
      <c r="C431" s="323"/>
      <c r="D431" s="392" t="s">
        <v>181</v>
      </c>
      <c r="E431" s="387">
        <v>351215</v>
      </c>
      <c r="F431" s="553"/>
      <c r="G431" s="578">
        <v>117.72</v>
      </c>
      <c r="H431" s="532">
        <v>3172607</v>
      </c>
      <c r="I431" s="2"/>
      <c r="J431" s="323" t="s">
        <v>2773</v>
      </c>
      <c r="K431" s="2"/>
      <c r="L431" s="2"/>
      <c r="M431" s="2"/>
      <c r="N431" s="2"/>
      <c r="O431" s="2"/>
      <c r="P431" s="2"/>
      <c r="Q431" s="2"/>
      <c r="R431" s="2"/>
      <c r="S431" s="2"/>
    </row>
    <row r="432" spans="1:19" s="562" customFormat="1" ht="14.45" x14ac:dyDescent="0.3">
      <c r="A432" s="321">
        <v>42881.096863425926</v>
      </c>
      <c r="B432" s="323" t="s">
        <v>127</v>
      </c>
      <c r="C432" s="323"/>
      <c r="D432" s="392" t="s">
        <v>181</v>
      </c>
      <c r="E432" s="387">
        <v>351215</v>
      </c>
      <c r="F432" s="553"/>
      <c r="G432" s="578">
        <v>57</v>
      </c>
      <c r="H432" s="532">
        <v>3176878</v>
      </c>
      <c r="I432" s="2"/>
      <c r="J432" s="323" t="s">
        <v>2773</v>
      </c>
      <c r="K432" s="2"/>
      <c r="L432" s="2"/>
      <c r="M432" s="2"/>
      <c r="N432" s="2"/>
      <c r="O432" s="2"/>
      <c r="P432" s="2"/>
      <c r="Q432" s="2"/>
      <c r="R432" s="2"/>
      <c r="S432" s="2"/>
    </row>
    <row r="433" spans="1:19" s="562" customFormat="1" ht="14.45" x14ac:dyDescent="0.3">
      <c r="A433" s="321">
        <v>42881.463854166665</v>
      </c>
      <c r="B433" s="323" t="s">
        <v>127</v>
      </c>
      <c r="C433" s="323"/>
      <c r="D433" s="392" t="s">
        <v>181</v>
      </c>
      <c r="E433" s="387">
        <v>351215</v>
      </c>
      <c r="F433" s="553"/>
      <c r="G433" s="578">
        <v>67.84</v>
      </c>
      <c r="H433" s="532">
        <v>3179954</v>
      </c>
      <c r="I433" s="2"/>
      <c r="J433" s="323" t="s">
        <v>2773</v>
      </c>
      <c r="K433" s="2"/>
      <c r="L433" s="2"/>
      <c r="M433" s="2"/>
      <c r="N433" s="2"/>
      <c r="O433" s="2"/>
      <c r="P433" s="2"/>
      <c r="Q433" s="2"/>
      <c r="R433" s="2"/>
      <c r="S433" s="2"/>
    </row>
    <row r="434" spans="1:19" s="562" customFormat="1" ht="14.45" x14ac:dyDescent="0.3">
      <c r="A434" s="321">
        <v>42886</v>
      </c>
      <c r="B434" s="323" t="s">
        <v>127</v>
      </c>
      <c r="C434" s="323"/>
      <c r="D434" s="392" t="s">
        <v>181</v>
      </c>
      <c r="E434" s="387">
        <v>351215</v>
      </c>
      <c r="F434" s="553"/>
      <c r="G434" s="578">
        <v>124</v>
      </c>
      <c r="H434" s="532">
        <v>3193210</v>
      </c>
      <c r="I434" s="2"/>
      <c r="J434" s="323" t="s">
        <v>2832</v>
      </c>
      <c r="K434" s="2"/>
      <c r="L434" s="2"/>
      <c r="M434" s="2"/>
      <c r="N434" s="2"/>
      <c r="O434" s="2"/>
      <c r="P434" s="2"/>
      <c r="Q434" s="2"/>
      <c r="R434" s="2"/>
      <c r="S434" s="2"/>
    </row>
    <row r="435" spans="1:19" s="562" customFormat="1" ht="14.45" x14ac:dyDescent="0.3">
      <c r="A435" s="321">
        <v>42885</v>
      </c>
      <c r="B435" s="323" t="s">
        <v>127</v>
      </c>
      <c r="C435" s="323"/>
      <c r="D435" s="392" t="s">
        <v>181</v>
      </c>
      <c r="E435" s="387">
        <v>351215</v>
      </c>
      <c r="F435" s="314"/>
      <c r="G435" s="578">
        <v>114.78</v>
      </c>
      <c r="H435" s="532">
        <v>3184799</v>
      </c>
      <c r="I435" s="2"/>
      <c r="J435" s="323" t="s">
        <v>182</v>
      </c>
      <c r="K435" s="2"/>
      <c r="L435" s="2"/>
      <c r="M435" s="2"/>
      <c r="N435" s="2"/>
      <c r="O435" s="2"/>
      <c r="P435" s="2"/>
      <c r="Q435" s="2"/>
      <c r="R435" s="2"/>
      <c r="S435" s="2"/>
    </row>
    <row r="436" spans="1:19" s="562" customFormat="1" ht="14.45" x14ac:dyDescent="0.3">
      <c r="A436" s="321">
        <v>42886</v>
      </c>
      <c r="B436" s="323" t="s">
        <v>127</v>
      </c>
      <c r="C436" s="323"/>
      <c r="D436" s="392" t="s">
        <v>181</v>
      </c>
      <c r="E436" s="387">
        <v>351215</v>
      </c>
      <c r="F436" s="314"/>
      <c r="G436" s="578">
        <v>67</v>
      </c>
      <c r="H436" s="532">
        <v>3187491</v>
      </c>
      <c r="I436" s="2"/>
      <c r="J436" s="323" t="s">
        <v>182</v>
      </c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5" x14ac:dyDescent="0.3">
      <c r="A437" s="321">
        <v>42887</v>
      </c>
      <c r="B437" s="323" t="s">
        <v>127</v>
      </c>
      <c r="C437" s="323"/>
      <c r="D437" s="392" t="s">
        <v>181</v>
      </c>
      <c r="E437" s="387">
        <v>351215</v>
      </c>
      <c r="F437" s="314"/>
      <c r="G437" s="578">
        <v>124</v>
      </c>
      <c r="H437" s="532">
        <v>3198791</v>
      </c>
      <c r="I437" s="2"/>
      <c r="J437" s="323" t="s">
        <v>182</v>
      </c>
    </row>
    <row r="438" spans="1:19" ht="14.45" x14ac:dyDescent="0.3">
      <c r="A438" s="321">
        <v>42887</v>
      </c>
      <c r="B438" s="323" t="s">
        <v>127</v>
      </c>
      <c r="C438" s="323"/>
      <c r="D438" s="392" t="s">
        <v>2812</v>
      </c>
      <c r="E438" s="387">
        <v>916</v>
      </c>
      <c r="F438" s="314"/>
      <c r="G438" s="578">
        <v>181.62</v>
      </c>
      <c r="H438" s="532">
        <v>3191054</v>
      </c>
      <c r="I438" s="2"/>
      <c r="J438" s="323" t="s">
        <v>182</v>
      </c>
    </row>
    <row r="439" spans="1:19" ht="14.45" x14ac:dyDescent="0.3">
      <c r="A439" s="321">
        <v>42888</v>
      </c>
      <c r="B439" s="323" t="s">
        <v>127</v>
      </c>
      <c r="C439" s="323"/>
      <c r="D439" s="392" t="s">
        <v>2950</v>
      </c>
      <c r="E439" s="387">
        <v>213393</v>
      </c>
      <c r="F439" s="314"/>
      <c r="G439" s="578">
        <v>62.9</v>
      </c>
      <c r="H439" s="532">
        <v>3198004</v>
      </c>
      <c r="I439" s="2"/>
      <c r="J439" s="323" t="s">
        <v>179</v>
      </c>
    </row>
    <row r="440" spans="1:19" s="562" customFormat="1" ht="14.45" x14ac:dyDescent="0.3">
      <c r="A440" s="321">
        <v>42891.085497685184</v>
      </c>
      <c r="B440" s="323" t="s">
        <v>127</v>
      </c>
      <c r="C440" s="323"/>
      <c r="D440" s="392" t="s">
        <v>181</v>
      </c>
      <c r="E440" s="387">
        <v>351215</v>
      </c>
      <c r="F440" s="314"/>
      <c r="G440" s="578">
        <v>236</v>
      </c>
      <c r="H440" s="532">
        <v>3205651</v>
      </c>
      <c r="I440" s="2"/>
      <c r="J440" s="323" t="s">
        <v>2573</v>
      </c>
      <c r="K440" s="2"/>
      <c r="L440" s="2"/>
      <c r="M440" s="2"/>
      <c r="N440" s="2"/>
      <c r="O440" s="2"/>
      <c r="P440" s="2"/>
      <c r="Q440" s="2"/>
      <c r="R440" s="2"/>
      <c r="S440" s="2"/>
    </row>
    <row r="441" spans="1:19" s="562" customFormat="1" ht="14.45" x14ac:dyDescent="0.3">
      <c r="A441" s="321">
        <v>42891.11482638889</v>
      </c>
      <c r="B441" s="323" t="s">
        <v>127</v>
      </c>
      <c r="C441" s="323"/>
      <c r="D441" s="392" t="s">
        <v>181</v>
      </c>
      <c r="E441" s="387">
        <v>351215</v>
      </c>
      <c r="F441" s="314"/>
      <c r="G441" s="578">
        <v>131.44</v>
      </c>
      <c r="H441" s="532">
        <v>3200838</v>
      </c>
      <c r="I441" s="2"/>
      <c r="J441" s="323" t="s">
        <v>2573</v>
      </c>
      <c r="K441" s="2"/>
      <c r="L441" s="2"/>
      <c r="M441" s="2"/>
      <c r="N441" s="2"/>
      <c r="O441" s="2"/>
      <c r="P441" s="2"/>
      <c r="Q441" s="2"/>
      <c r="R441" s="2"/>
      <c r="S441" s="2"/>
    </row>
    <row r="442" spans="1:19" s="562" customFormat="1" ht="14.45" x14ac:dyDescent="0.3">
      <c r="A442" s="321">
        <v>42892.218472222223</v>
      </c>
      <c r="B442" s="323" t="s">
        <v>127</v>
      </c>
      <c r="C442" s="323"/>
      <c r="D442" s="392" t="s">
        <v>181</v>
      </c>
      <c r="E442" s="387">
        <v>351215</v>
      </c>
      <c r="F442" s="314"/>
      <c r="G442" s="578">
        <v>171</v>
      </c>
      <c r="H442" s="532">
        <v>3212547</v>
      </c>
      <c r="I442" s="2"/>
      <c r="J442" s="323" t="s">
        <v>2573</v>
      </c>
      <c r="K442" s="2"/>
      <c r="L442" s="2"/>
      <c r="M442" s="2"/>
      <c r="N442" s="2"/>
      <c r="O442" s="2"/>
      <c r="P442" s="2"/>
      <c r="Q442" s="2"/>
      <c r="R442" s="2"/>
      <c r="S442" s="2"/>
    </row>
    <row r="443" spans="1:19" s="562" customFormat="1" ht="14.45" x14ac:dyDescent="0.3">
      <c r="A443" s="321">
        <v>42892.374259259261</v>
      </c>
      <c r="B443" s="323" t="s">
        <v>127</v>
      </c>
      <c r="C443" s="323"/>
      <c r="D443" s="392" t="s">
        <v>181</v>
      </c>
      <c r="E443" s="387">
        <v>351215</v>
      </c>
      <c r="F443" s="314"/>
      <c r="G443" s="578">
        <v>94</v>
      </c>
      <c r="H443" s="532">
        <v>3206780</v>
      </c>
      <c r="I443" s="2"/>
      <c r="J443" s="323" t="s">
        <v>2573</v>
      </c>
      <c r="K443" s="2"/>
      <c r="L443" s="2"/>
      <c r="M443" s="2"/>
      <c r="N443" s="2"/>
      <c r="O443" s="2"/>
      <c r="P443" s="2"/>
      <c r="Q443" s="2"/>
      <c r="R443" s="2"/>
      <c r="S443" s="2"/>
    </row>
    <row r="444" spans="1:19" s="562" customFormat="1" ht="14.45" x14ac:dyDescent="0.3">
      <c r="A444" s="321">
        <v>42893.407175925924</v>
      </c>
      <c r="B444" s="323" t="s">
        <v>127</v>
      </c>
      <c r="C444" s="323"/>
      <c r="D444" s="392" t="s">
        <v>181</v>
      </c>
      <c r="E444" s="387">
        <v>351215</v>
      </c>
      <c r="F444" s="314"/>
      <c r="G444" s="578">
        <v>122</v>
      </c>
      <c r="H444" s="532">
        <v>3220791</v>
      </c>
      <c r="I444" s="2"/>
      <c r="J444" s="323" t="s">
        <v>2573</v>
      </c>
      <c r="K444" s="2"/>
      <c r="L444" s="2"/>
      <c r="M444" s="2"/>
      <c r="N444" s="2"/>
      <c r="O444" s="2"/>
      <c r="P444" s="2"/>
      <c r="Q444" s="2"/>
      <c r="R444" s="2"/>
      <c r="S444" s="2"/>
    </row>
    <row r="445" spans="1:19" s="562" customFormat="1" ht="14.45" x14ac:dyDescent="0.3">
      <c r="A445" s="321">
        <v>42891</v>
      </c>
      <c r="B445" s="323" t="s">
        <v>127</v>
      </c>
      <c r="C445" s="323"/>
      <c r="D445" s="392">
        <v>376214535993</v>
      </c>
      <c r="E445" s="387">
        <v>3188340</v>
      </c>
      <c r="F445" s="314"/>
      <c r="G445" s="578">
        <f>14.22+50.73</f>
        <v>64.95</v>
      </c>
      <c r="H445" s="532">
        <v>3188340</v>
      </c>
      <c r="I445" s="2"/>
      <c r="J445" s="323" t="s">
        <v>2682</v>
      </c>
      <c r="K445" s="2"/>
      <c r="L445" s="2"/>
      <c r="M445" s="2"/>
      <c r="N445" s="2"/>
      <c r="O445" s="2"/>
      <c r="P445" s="2"/>
      <c r="Q445" s="2"/>
      <c r="R445" s="2"/>
      <c r="S445" s="2"/>
    </row>
    <row r="446" spans="1:19" s="562" customFormat="1" ht="14.45" x14ac:dyDescent="0.3">
      <c r="A446" s="321">
        <v>42893</v>
      </c>
      <c r="B446" s="323" t="s">
        <v>127</v>
      </c>
      <c r="C446" s="323"/>
      <c r="D446" s="392">
        <v>376214535993</v>
      </c>
      <c r="E446" s="387">
        <v>3188340</v>
      </c>
      <c r="F446" s="314"/>
      <c r="G446" s="578">
        <f>10+57.2</f>
        <v>67.2</v>
      </c>
      <c r="H446" s="532">
        <v>3229029</v>
      </c>
      <c r="I446" s="2"/>
      <c r="J446" s="323" t="s">
        <v>2682</v>
      </c>
      <c r="K446" s="2"/>
      <c r="L446" s="2"/>
      <c r="M446" s="2"/>
      <c r="N446" s="2"/>
      <c r="O446" s="2"/>
      <c r="P446" s="2"/>
      <c r="Q446" s="2"/>
      <c r="R446" s="2"/>
      <c r="S446" s="2"/>
    </row>
    <row r="447" spans="1:19" s="562" customFormat="1" ht="14.45" x14ac:dyDescent="0.3">
      <c r="A447" s="321">
        <v>42894</v>
      </c>
      <c r="B447" s="323" t="s">
        <v>127</v>
      </c>
      <c r="C447" s="323"/>
      <c r="D447" s="392" t="s">
        <v>3108</v>
      </c>
      <c r="E447" s="387">
        <v>217536</v>
      </c>
      <c r="F447" s="314"/>
      <c r="G447" s="578">
        <v>100.95</v>
      </c>
      <c r="H447" s="532">
        <v>3103458</v>
      </c>
      <c r="I447" s="2"/>
      <c r="J447" s="323" t="s">
        <v>2682</v>
      </c>
      <c r="K447" s="2"/>
      <c r="L447" s="2"/>
      <c r="M447" s="2"/>
      <c r="N447" s="2"/>
      <c r="O447" s="2"/>
      <c r="P447" s="2"/>
      <c r="Q447" s="2"/>
      <c r="R447" s="2"/>
      <c r="S447" s="2"/>
    </row>
    <row r="448" spans="1:19" s="562" customFormat="1" ht="14.45" x14ac:dyDescent="0.3">
      <c r="A448" s="321">
        <v>42898</v>
      </c>
      <c r="B448" s="323" t="s">
        <v>127</v>
      </c>
      <c r="C448" s="323"/>
      <c r="D448" s="392" t="s">
        <v>181</v>
      </c>
      <c r="E448" s="387">
        <v>351215</v>
      </c>
      <c r="F448" s="532"/>
      <c r="G448" s="578">
        <v>58.61</v>
      </c>
      <c r="H448" s="532">
        <v>3228518</v>
      </c>
      <c r="I448" s="2"/>
      <c r="J448" s="323" t="s">
        <v>2573</v>
      </c>
      <c r="K448" s="2"/>
      <c r="L448" s="2"/>
      <c r="M448" s="2"/>
      <c r="N448" s="2"/>
      <c r="O448" s="2"/>
      <c r="P448" s="2"/>
      <c r="Q448" s="2"/>
      <c r="R448" s="2"/>
      <c r="S448" s="2"/>
    </row>
    <row r="449" spans="1:19" s="562" customFormat="1" ht="14.45" x14ac:dyDescent="0.3">
      <c r="A449" s="321">
        <v>42898</v>
      </c>
      <c r="B449" s="323" t="s">
        <v>127</v>
      </c>
      <c r="C449" s="323"/>
      <c r="D449" s="392" t="s">
        <v>181</v>
      </c>
      <c r="E449" s="387">
        <v>351215</v>
      </c>
      <c r="F449" s="532"/>
      <c r="G449" s="578">
        <v>354</v>
      </c>
      <c r="H449" s="532">
        <v>3230110</v>
      </c>
      <c r="I449" s="2"/>
      <c r="J449" s="323" t="s">
        <v>2573</v>
      </c>
      <c r="K449" s="2"/>
      <c r="L449" s="2"/>
      <c r="M449" s="2"/>
      <c r="N449" s="2"/>
      <c r="O449" s="2"/>
      <c r="P449" s="2"/>
      <c r="Q449" s="2"/>
      <c r="R449" s="2"/>
      <c r="S449" s="2"/>
    </row>
    <row r="450" spans="1:19" s="562" customFormat="1" ht="14.45" x14ac:dyDescent="0.3">
      <c r="A450" s="321">
        <v>42902</v>
      </c>
      <c r="B450" s="323" t="s">
        <v>127</v>
      </c>
      <c r="C450" s="323"/>
      <c r="D450" s="392" t="s">
        <v>181</v>
      </c>
      <c r="E450" s="387">
        <v>351215</v>
      </c>
      <c r="F450" s="532"/>
      <c r="G450" s="578">
        <v>121.27</v>
      </c>
      <c r="H450" s="532">
        <v>3272954</v>
      </c>
      <c r="I450" s="2"/>
      <c r="J450" s="323" t="s">
        <v>2573</v>
      </c>
      <c r="K450" s="2"/>
      <c r="L450" s="2"/>
      <c r="M450" s="2"/>
      <c r="N450" s="2"/>
      <c r="O450" s="2"/>
      <c r="P450" s="2"/>
      <c r="Q450" s="2"/>
      <c r="R450" s="2"/>
      <c r="S450" s="2"/>
    </row>
    <row r="451" spans="1:19" s="562" customFormat="1" ht="14.45" x14ac:dyDescent="0.3">
      <c r="A451" s="321">
        <v>42902</v>
      </c>
      <c r="B451" s="323" t="s">
        <v>127</v>
      </c>
      <c r="C451" s="323"/>
      <c r="D451" s="392" t="s">
        <v>181</v>
      </c>
      <c r="E451" s="387">
        <v>351215</v>
      </c>
      <c r="F451" s="532"/>
      <c r="G451" s="578">
        <v>109</v>
      </c>
      <c r="H451" s="532">
        <v>3265694</v>
      </c>
      <c r="I451" s="2"/>
      <c r="J451" s="323" t="s">
        <v>2573</v>
      </c>
      <c r="K451" s="2"/>
      <c r="L451" s="2"/>
      <c r="M451" s="2"/>
      <c r="N451" s="2"/>
      <c r="O451" s="2"/>
      <c r="P451" s="2"/>
      <c r="Q451" s="2"/>
      <c r="R451" s="2"/>
      <c r="S451" s="2"/>
    </row>
    <row r="452" spans="1:19" s="562" customFormat="1" ht="14.45" x14ac:dyDescent="0.3">
      <c r="A452" s="321">
        <v>42905.100775462961</v>
      </c>
      <c r="B452" s="323" t="s">
        <v>127</v>
      </c>
      <c r="C452" s="323"/>
      <c r="D452" s="392" t="s">
        <v>181</v>
      </c>
      <c r="E452" s="387">
        <v>351215</v>
      </c>
      <c r="F452" s="532"/>
      <c r="G452" s="578">
        <v>47.28</v>
      </c>
      <c r="H452" s="532">
        <v>3278801</v>
      </c>
      <c r="I452" s="2"/>
      <c r="J452" s="323" t="s">
        <v>2573</v>
      </c>
      <c r="K452" s="2"/>
      <c r="L452" s="2"/>
      <c r="M452" s="2"/>
      <c r="N452" s="2"/>
      <c r="O452" s="2"/>
      <c r="P452" s="2"/>
      <c r="Q452" s="2"/>
      <c r="R452" s="2"/>
      <c r="S452" s="2"/>
    </row>
    <row r="453" spans="1:19" s="562" customFormat="1" ht="14.45" x14ac:dyDescent="0.3">
      <c r="A453" s="321">
        <v>42905.366261574076</v>
      </c>
      <c r="B453" s="323" t="s">
        <v>127</v>
      </c>
      <c r="C453" s="323"/>
      <c r="D453" s="392" t="s">
        <v>181</v>
      </c>
      <c r="E453" s="387">
        <v>351215</v>
      </c>
      <c r="F453" s="532"/>
      <c r="G453" s="578">
        <v>64</v>
      </c>
      <c r="H453" s="532">
        <v>3275765</v>
      </c>
      <c r="I453" s="2"/>
      <c r="J453" s="323" t="s">
        <v>2573</v>
      </c>
      <c r="K453" s="2"/>
      <c r="L453" s="2"/>
      <c r="M453" s="2"/>
      <c r="N453" s="2"/>
      <c r="O453" s="2"/>
      <c r="P453" s="2"/>
      <c r="Q453" s="2"/>
      <c r="R453" s="2"/>
      <c r="S453" s="2"/>
    </row>
    <row r="454" spans="1:19" s="562" customFormat="1" ht="14.45" x14ac:dyDescent="0.3">
      <c r="A454" s="321">
        <v>42905.401041666664</v>
      </c>
      <c r="B454" s="323" t="s">
        <v>127</v>
      </c>
      <c r="C454" s="323"/>
      <c r="D454" s="392" t="s">
        <v>181</v>
      </c>
      <c r="E454" s="387">
        <v>351215</v>
      </c>
      <c r="F454" s="532"/>
      <c r="G454" s="578">
        <v>36.58</v>
      </c>
      <c r="H454" s="532">
        <v>3272956</v>
      </c>
      <c r="I454" s="2"/>
      <c r="J454" s="323" t="s">
        <v>2573</v>
      </c>
      <c r="K454" s="2"/>
      <c r="L454" s="2"/>
      <c r="M454" s="2"/>
      <c r="N454" s="2"/>
      <c r="O454" s="2"/>
      <c r="P454" s="2"/>
      <c r="Q454" s="2"/>
      <c r="R454" s="2"/>
      <c r="S454" s="2"/>
    </row>
    <row r="455" spans="1:19" s="562" customFormat="1" ht="14.45" x14ac:dyDescent="0.3">
      <c r="A455" s="321">
        <v>42905.446400462963</v>
      </c>
      <c r="B455" s="323" t="s">
        <v>127</v>
      </c>
      <c r="C455" s="323"/>
      <c r="D455" s="392" t="s">
        <v>181</v>
      </c>
      <c r="E455" s="387">
        <v>351215</v>
      </c>
      <c r="F455" s="532"/>
      <c r="G455" s="578">
        <v>50</v>
      </c>
      <c r="H455" s="532">
        <v>3276263</v>
      </c>
      <c r="I455" s="2"/>
      <c r="J455" s="323" t="s">
        <v>2573</v>
      </c>
      <c r="K455" s="2"/>
      <c r="L455" s="2"/>
      <c r="M455" s="2"/>
      <c r="N455" s="2"/>
      <c r="O455" s="2"/>
      <c r="P455" s="2"/>
      <c r="Q455" s="2"/>
      <c r="R455" s="2"/>
      <c r="S455" s="2"/>
    </row>
    <row r="456" spans="1:19" s="562" customFormat="1" ht="14.45" x14ac:dyDescent="0.3">
      <c r="A456" s="321">
        <v>42906.289733796293</v>
      </c>
      <c r="B456" s="323" t="s">
        <v>127</v>
      </c>
      <c r="C456" s="323"/>
      <c r="D456" s="392" t="s">
        <v>181</v>
      </c>
      <c r="E456" s="387">
        <v>351215</v>
      </c>
      <c r="F456" s="532"/>
      <c r="G456" s="578">
        <v>129.32</v>
      </c>
      <c r="H456" s="532">
        <v>3286837</v>
      </c>
      <c r="I456" s="2"/>
      <c r="J456" s="323" t="s">
        <v>2573</v>
      </c>
      <c r="K456" s="2"/>
      <c r="L456" s="2"/>
      <c r="M456" s="2"/>
      <c r="N456" s="2"/>
      <c r="O456" s="2"/>
      <c r="P456" s="2"/>
      <c r="Q456" s="2"/>
      <c r="R456" s="2"/>
      <c r="S456" s="2"/>
    </row>
    <row r="457" spans="1:19" s="562" customFormat="1" ht="14.45" x14ac:dyDescent="0.3">
      <c r="A457" s="321">
        <v>42907.04315972222</v>
      </c>
      <c r="B457" s="323" t="s">
        <v>127</v>
      </c>
      <c r="C457" s="323"/>
      <c r="D457" s="392" t="s">
        <v>181</v>
      </c>
      <c r="E457" s="387">
        <v>351215</v>
      </c>
      <c r="F457" s="532"/>
      <c r="G457" s="578">
        <v>134.85</v>
      </c>
      <c r="H457" s="532">
        <v>3280204</v>
      </c>
      <c r="I457" s="2"/>
      <c r="J457" s="323" t="s">
        <v>2573</v>
      </c>
      <c r="K457" s="2"/>
      <c r="L457" s="2"/>
      <c r="M457" s="2"/>
      <c r="N457" s="2"/>
      <c r="O457" s="2"/>
      <c r="P457" s="2"/>
      <c r="Q457" s="2"/>
      <c r="R457" s="2"/>
      <c r="S457" s="2"/>
    </row>
    <row r="458" spans="1:19" s="562" customFormat="1" ht="14.45" x14ac:dyDescent="0.3">
      <c r="A458" s="321">
        <v>42908.112210648149</v>
      </c>
      <c r="B458" s="323" t="s">
        <v>127</v>
      </c>
      <c r="C458" s="323"/>
      <c r="D458" s="392" t="s">
        <v>181</v>
      </c>
      <c r="E458" s="387">
        <v>351215</v>
      </c>
      <c r="F458" s="532"/>
      <c r="G458" s="578">
        <v>65</v>
      </c>
      <c r="H458" s="532">
        <v>3298621</v>
      </c>
      <c r="I458" s="2"/>
      <c r="J458" s="323" t="s">
        <v>2573</v>
      </c>
      <c r="K458" s="2"/>
      <c r="L458" s="2"/>
      <c r="M458" s="2"/>
      <c r="N458" s="2"/>
      <c r="O458" s="2"/>
      <c r="P458" s="2"/>
      <c r="Q458" s="2"/>
      <c r="R458" s="2"/>
      <c r="S458" s="2"/>
    </row>
    <row r="459" spans="1:19" s="562" customFormat="1" ht="14.45" x14ac:dyDescent="0.3">
      <c r="A459" s="321">
        <v>42909.291990740741</v>
      </c>
      <c r="B459" s="323" t="s">
        <v>127</v>
      </c>
      <c r="C459" s="323"/>
      <c r="D459" s="392" t="s">
        <v>181</v>
      </c>
      <c r="E459" s="387">
        <v>351215</v>
      </c>
      <c r="F459" s="532"/>
      <c r="G459" s="578">
        <v>75.98</v>
      </c>
      <c r="H459" s="532">
        <v>3296784</v>
      </c>
      <c r="I459" s="2"/>
      <c r="J459" s="323" t="s">
        <v>2573</v>
      </c>
      <c r="K459" s="2"/>
      <c r="L459" s="2"/>
      <c r="M459" s="2"/>
      <c r="N459" s="2"/>
      <c r="O459" s="2"/>
      <c r="P459" s="2"/>
      <c r="Q459" s="2"/>
      <c r="R459" s="2"/>
      <c r="S459" s="2"/>
    </row>
    <row r="460" spans="1:19" s="562" customFormat="1" ht="14.45" x14ac:dyDescent="0.3">
      <c r="A460" s="321">
        <v>42907</v>
      </c>
      <c r="B460" s="323" t="s">
        <v>127</v>
      </c>
      <c r="C460" s="323"/>
      <c r="D460" s="392" t="s">
        <v>3493</v>
      </c>
      <c r="E460" s="387">
        <v>350425</v>
      </c>
      <c r="F460" s="532"/>
      <c r="G460" s="578">
        <f>2.72+31.24</f>
        <v>33.96</v>
      </c>
      <c r="H460" s="532">
        <v>3279856</v>
      </c>
      <c r="I460" s="2"/>
      <c r="J460" s="323" t="s">
        <v>3494</v>
      </c>
      <c r="K460" s="2"/>
      <c r="L460" s="2"/>
      <c r="M460" s="2"/>
      <c r="N460" s="2"/>
      <c r="O460" s="2"/>
      <c r="P460" s="2"/>
      <c r="Q460" s="2"/>
      <c r="R460" s="2"/>
      <c r="S460" s="2"/>
    </row>
    <row r="461" spans="1:19" s="562" customFormat="1" ht="14.45" x14ac:dyDescent="0.3">
      <c r="A461" s="321">
        <v>42908</v>
      </c>
      <c r="B461" s="323" t="s">
        <v>127</v>
      </c>
      <c r="C461" s="323"/>
      <c r="D461" s="392" t="s">
        <v>3493</v>
      </c>
      <c r="E461" s="387">
        <v>350425</v>
      </c>
      <c r="F461" s="532"/>
      <c r="G461" s="578">
        <f>4.49+95.32</f>
        <v>99.809999999999988</v>
      </c>
      <c r="H461" s="532">
        <v>3289826</v>
      </c>
      <c r="I461" s="2"/>
      <c r="J461" s="323" t="s">
        <v>3494</v>
      </c>
      <c r="K461" s="2"/>
      <c r="L461" s="2"/>
      <c r="M461" s="2"/>
      <c r="N461" s="2"/>
      <c r="O461" s="2"/>
      <c r="P461" s="2"/>
      <c r="Q461" s="2"/>
      <c r="R461" s="2"/>
      <c r="S461" s="2"/>
    </row>
    <row r="462" spans="1:19" s="562" customFormat="1" ht="14.45" x14ac:dyDescent="0.3">
      <c r="A462" s="321">
        <v>42913</v>
      </c>
      <c r="B462" s="323" t="s">
        <v>127</v>
      </c>
      <c r="C462" s="323"/>
      <c r="D462" s="392" t="s">
        <v>181</v>
      </c>
      <c r="E462" s="387">
        <v>351215</v>
      </c>
      <c r="F462" s="594"/>
      <c r="G462" s="578">
        <v>68.400000000000006</v>
      </c>
      <c r="H462" s="594">
        <v>3314936</v>
      </c>
      <c r="I462" s="2"/>
      <c r="J462" s="323" t="s">
        <v>2573</v>
      </c>
      <c r="K462" s="2"/>
      <c r="L462" s="2"/>
      <c r="M462" s="2"/>
      <c r="N462" s="2"/>
      <c r="O462" s="2"/>
      <c r="P462" s="2"/>
      <c r="Q462" s="2"/>
      <c r="R462" s="2"/>
      <c r="S462" s="2"/>
    </row>
    <row r="463" spans="1:19" s="562" customFormat="1" ht="14.45" x14ac:dyDescent="0.3">
      <c r="A463" s="321">
        <v>42916</v>
      </c>
      <c r="B463" s="323" t="s">
        <v>127</v>
      </c>
      <c r="C463" s="323"/>
      <c r="D463" s="392" t="s">
        <v>2130</v>
      </c>
      <c r="E463" s="387">
        <v>214122</v>
      </c>
      <c r="F463" s="594"/>
      <c r="G463" s="578">
        <v>96.95</v>
      </c>
      <c r="H463" s="594">
        <v>3330011</v>
      </c>
      <c r="I463" s="2"/>
      <c r="J463" s="323" t="s">
        <v>3494</v>
      </c>
      <c r="K463" s="2"/>
      <c r="L463" s="2"/>
      <c r="M463" s="2"/>
      <c r="N463" s="2"/>
      <c r="O463" s="2"/>
      <c r="P463" s="2"/>
      <c r="Q463" s="2"/>
      <c r="R463" s="2"/>
      <c r="S463" s="2"/>
    </row>
    <row r="464" spans="1:19" s="562" customFormat="1" ht="14.45" x14ac:dyDescent="0.3">
      <c r="A464" s="321">
        <v>42914</v>
      </c>
      <c r="B464" s="323" t="s">
        <v>127</v>
      </c>
      <c r="C464" s="323"/>
      <c r="D464" s="392" t="s">
        <v>2779</v>
      </c>
      <c r="E464" s="387">
        <v>507</v>
      </c>
      <c r="F464" s="594"/>
      <c r="G464" s="578">
        <v>31.75</v>
      </c>
      <c r="H464" s="594">
        <v>3313543</v>
      </c>
      <c r="I464" s="2"/>
      <c r="J464" s="323" t="s">
        <v>3494</v>
      </c>
      <c r="K464" s="2"/>
      <c r="L464" s="2"/>
      <c r="M464" s="2"/>
      <c r="N464" s="2"/>
      <c r="O464" s="2"/>
      <c r="P464" s="2"/>
      <c r="Q464" s="2"/>
      <c r="R464" s="2"/>
      <c r="S464" s="2"/>
    </row>
    <row r="465" spans="1:19" s="562" customFormat="1" ht="14.45" x14ac:dyDescent="0.3">
      <c r="A465" s="321">
        <v>42892</v>
      </c>
      <c r="B465" s="323" t="s">
        <v>127</v>
      </c>
      <c r="C465" s="323"/>
      <c r="D465" s="392" t="s">
        <v>1522</v>
      </c>
      <c r="E465" s="387">
        <v>351063</v>
      </c>
      <c r="F465" s="594"/>
      <c r="G465" s="578">
        <v>222.4</v>
      </c>
      <c r="H465" s="594">
        <v>3215759</v>
      </c>
      <c r="I465" s="2"/>
      <c r="J465" s="323" t="s">
        <v>3775</v>
      </c>
      <c r="K465" s="2"/>
      <c r="L465" s="2"/>
      <c r="M465" s="2"/>
      <c r="N465" s="2"/>
      <c r="O465" s="2"/>
      <c r="P465" s="2"/>
      <c r="Q465" s="2"/>
      <c r="R465" s="2"/>
      <c r="S465" s="2"/>
    </row>
    <row r="466" spans="1:19" s="562" customFormat="1" ht="14.45" x14ac:dyDescent="0.3">
      <c r="A466" s="321">
        <v>42894</v>
      </c>
      <c r="B466" s="323" t="s">
        <v>127</v>
      </c>
      <c r="C466" s="323"/>
      <c r="D466" s="392" t="s">
        <v>1440</v>
      </c>
      <c r="E466" s="387">
        <v>350418</v>
      </c>
      <c r="F466" s="594"/>
      <c r="G466" s="578">
        <f>11.26+114.85</f>
        <v>126.11</v>
      </c>
      <c r="H466" s="594">
        <v>3206258</v>
      </c>
      <c r="I466" s="2"/>
      <c r="J466" s="323" t="s">
        <v>3778</v>
      </c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5" x14ac:dyDescent="0.3">
      <c r="A467" s="321">
        <v>42919</v>
      </c>
      <c r="B467" s="323" t="s">
        <v>127</v>
      </c>
      <c r="C467" s="323"/>
      <c r="D467" s="392" t="s">
        <v>181</v>
      </c>
      <c r="E467" s="387">
        <v>351215</v>
      </c>
      <c r="F467" s="594"/>
      <c r="G467" s="578">
        <v>116</v>
      </c>
      <c r="H467" s="594">
        <v>3328330</v>
      </c>
      <c r="I467" s="2"/>
      <c r="J467" s="323" t="s">
        <v>2573</v>
      </c>
    </row>
    <row r="468" spans="1:19" ht="14.45" x14ac:dyDescent="0.3">
      <c r="A468" s="321">
        <v>42919</v>
      </c>
      <c r="B468" s="323" t="s">
        <v>127</v>
      </c>
      <c r="C468" s="323"/>
      <c r="D468" s="392" t="s">
        <v>181</v>
      </c>
      <c r="E468" s="387">
        <v>351215</v>
      </c>
      <c r="F468" s="594"/>
      <c r="G468" s="578">
        <v>98</v>
      </c>
      <c r="H468" s="594">
        <v>3338451</v>
      </c>
      <c r="I468" s="2"/>
      <c r="J468" s="323" t="s">
        <v>2573</v>
      </c>
    </row>
    <row r="469" spans="1:19" ht="14.45" x14ac:dyDescent="0.3">
      <c r="A469" s="321">
        <v>42921</v>
      </c>
      <c r="B469" s="323" t="s">
        <v>127</v>
      </c>
      <c r="C469" s="323"/>
      <c r="D469" s="392" t="s">
        <v>181</v>
      </c>
      <c r="E469" s="387">
        <v>351215</v>
      </c>
      <c r="F469" s="594"/>
      <c r="G469" s="578">
        <v>90.95</v>
      </c>
      <c r="H469" s="594">
        <v>3336129</v>
      </c>
      <c r="I469" s="2"/>
      <c r="J469" s="323" t="s">
        <v>2573</v>
      </c>
    </row>
    <row r="470" spans="1:19" ht="14.45" x14ac:dyDescent="0.3">
      <c r="A470" s="321">
        <v>42922</v>
      </c>
      <c r="B470" s="323" t="s">
        <v>127</v>
      </c>
      <c r="C470" s="323"/>
      <c r="D470" s="392" t="s">
        <v>181</v>
      </c>
      <c r="E470" s="387">
        <v>351215</v>
      </c>
      <c r="F470" s="594"/>
      <c r="G470" s="578">
        <v>133.61000000000001</v>
      </c>
      <c r="H470" s="594">
        <v>3352921</v>
      </c>
      <c r="I470" s="2"/>
      <c r="J470" s="323" t="s">
        <v>2573</v>
      </c>
    </row>
    <row r="471" spans="1:19" ht="14.45" x14ac:dyDescent="0.3">
      <c r="A471" s="321">
        <v>42921</v>
      </c>
      <c r="B471" s="323" t="s">
        <v>127</v>
      </c>
      <c r="C471" s="323"/>
      <c r="D471" s="392" t="s">
        <v>2130</v>
      </c>
      <c r="E471" s="387">
        <v>214122</v>
      </c>
      <c r="F471" s="594"/>
      <c r="G471" s="578">
        <v>98.15</v>
      </c>
      <c r="H471" s="594">
        <v>3350358</v>
      </c>
      <c r="I471" s="2"/>
      <c r="J471" s="323" t="s">
        <v>142</v>
      </c>
    </row>
    <row r="472" spans="1:19" ht="14.45" x14ac:dyDescent="0.3">
      <c r="A472" s="321">
        <v>42921</v>
      </c>
      <c r="B472" s="323" t="s">
        <v>127</v>
      </c>
      <c r="C472" s="323"/>
      <c r="D472" s="392" t="s">
        <v>2277</v>
      </c>
      <c r="E472" s="387">
        <v>352463</v>
      </c>
      <c r="F472" s="594"/>
      <c r="G472" s="578">
        <v>77.19</v>
      </c>
      <c r="H472" s="594">
        <v>3341366</v>
      </c>
      <c r="I472" s="2"/>
      <c r="J472" s="323" t="s">
        <v>142</v>
      </c>
    </row>
    <row r="473" spans="1:19" ht="14.45" x14ac:dyDescent="0.3">
      <c r="A473" s="321">
        <v>42922</v>
      </c>
      <c r="B473" s="323" t="s">
        <v>127</v>
      </c>
      <c r="C473" s="323"/>
      <c r="D473" s="392" t="s">
        <v>2653</v>
      </c>
      <c r="E473" s="387">
        <v>351902</v>
      </c>
      <c r="F473" s="594"/>
      <c r="G473" s="578">
        <v>59.95</v>
      </c>
      <c r="H473" s="594">
        <v>3349874</v>
      </c>
      <c r="I473" s="2"/>
      <c r="J473" s="323" t="s">
        <v>142</v>
      </c>
    </row>
    <row r="474" spans="1:19" s="562" customFormat="1" ht="14.45" x14ac:dyDescent="0.3">
      <c r="A474" s="321">
        <v>42929</v>
      </c>
      <c r="B474" s="323" t="s">
        <v>127</v>
      </c>
      <c r="C474" s="323"/>
      <c r="D474" s="392" t="s">
        <v>181</v>
      </c>
      <c r="E474" s="387">
        <v>351215</v>
      </c>
      <c r="F474" s="594"/>
      <c r="G474" s="578">
        <f>36.8+20.2</f>
        <v>57</v>
      </c>
      <c r="H474" s="594">
        <v>3371267</v>
      </c>
      <c r="I474" s="2"/>
      <c r="J474" s="323" t="s">
        <v>4194</v>
      </c>
      <c r="K474" s="2"/>
      <c r="L474" s="2"/>
      <c r="M474" s="2"/>
      <c r="N474" s="2"/>
      <c r="O474" s="2"/>
      <c r="P474" s="2"/>
      <c r="Q474" s="2"/>
      <c r="R474" s="2"/>
      <c r="S474" s="2"/>
    </row>
    <row r="475" spans="1:19" s="562" customFormat="1" ht="14.45" x14ac:dyDescent="0.3">
      <c r="A475" s="321">
        <v>42926</v>
      </c>
      <c r="B475" s="323" t="s">
        <v>127</v>
      </c>
      <c r="C475" s="323"/>
      <c r="D475" s="392" t="s">
        <v>181</v>
      </c>
      <c r="E475" s="387">
        <v>351215</v>
      </c>
      <c r="F475" s="594"/>
      <c r="G475" s="578">
        <v>109</v>
      </c>
      <c r="H475" s="594">
        <v>3364900</v>
      </c>
      <c r="I475" s="2"/>
      <c r="J475" s="323" t="s">
        <v>2573</v>
      </c>
      <c r="K475" s="2"/>
      <c r="L475" s="2"/>
      <c r="M475" s="2"/>
      <c r="N475" s="2"/>
      <c r="O475" s="2"/>
      <c r="P475" s="2"/>
      <c r="Q475" s="2"/>
      <c r="R475" s="2"/>
      <c r="S475" s="2"/>
    </row>
    <row r="476" spans="1:19" s="562" customFormat="1" ht="14.45" x14ac:dyDescent="0.3">
      <c r="A476" s="321">
        <v>42926</v>
      </c>
      <c r="B476" s="323" t="s">
        <v>127</v>
      </c>
      <c r="C476" s="323"/>
      <c r="D476" s="392" t="s">
        <v>181</v>
      </c>
      <c r="E476" s="387">
        <v>351215</v>
      </c>
      <c r="F476" s="594"/>
      <c r="G476" s="578">
        <v>118</v>
      </c>
      <c r="H476" s="594">
        <v>3364067</v>
      </c>
      <c r="I476" s="2"/>
      <c r="J476" s="323" t="s">
        <v>2573</v>
      </c>
      <c r="K476" s="2"/>
      <c r="L476" s="2"/>
      <c r="M476" s="2"/>
      <c r="N476" s="2"/>
      <c r="O476" s="2"/>
      <c r="P476" s="2"/>
      <c r="Q476" s="2"/>
      <c r="R476" s="2"/>
      <c r="S476" s="2"/>
    </row>
    <row r="477" spans="1:19" s="562" customFormat="1" ht="14.45" x14ac:dyDescent="0.3">
      <c r="A477" s="321">
        <v>42926</v>
      </c>
      <c r="B477" s="323" t="s">
        <v>127</v>
      </c>
      <c r="C477" s="323"/>
      <c r="D477" s="392" t="s">
        <v>181</v>
      </c>
      <c r="E477" s="387">
        <v>351215</v>
      </c>
      <c r="F477" s="594"/>
      <c r="G477" s="578">
        <v>71.010000000000005</v>
      </c>
      <c r="H477" s="594">
        <v>3367605</v>
      </c>
      <c r="I477" s="2"/>
      <c r="J477" s="323" t="s">
        <v>2573</v>
      </c>
      <c r="K477" s="2"/>
      <c r="L477" s="2"/>
      <c r="M477" s="2"/>
      <c r="N477" s="2"/>
      <c r="O477" s="2"/>
      <c r="P477" s="2"/>
      <c r="Q477" s="2"/>
      <c r="R477" s="2"/>
      <c r="S477" s="2"/>
    </row>
    <row r="478" spans="1:19" s="562" customFormat="1" ht="14.45" x14ac:dyDescent="0.3">
      <c r="A478" s="321">
        <v>42926</v>
      </c>
      <c r="B478" s="323" t="s">
        <v>127</v>
      </c>
      <c r="C478" s="323"/>
      <c r="D478" s="392" t="s">
        <v>181</v>
      </c>
      <c r="E478" s="387">
        <v>351215</v>
      </c>
      <c r="F478" s="594"/>
      <c r="G478" s="578">
        <v>385.5</v>
      </c>
      <c r="H478" s="594">
        <v>3360884</v>
      </c>
      <c r="I478" s="2"/>
      <c r="J478" s="323" t="s">
        <v>2573</v>
      </c>
      <c r="K478" s="2"/>
      <c r="L478" s="2"/>
      <c r="M478" s="2"/>
      <c r="N478" s="2"/>
      <c r="O478" s="2"/>
      <c r="P478" s="2"/>
      <c r="Q478" s="2"/>
      <c r="R478" s="2"/>
      <c r="S478" s="2"/>
    </row>
    <row r="479" spans="1:19" s="562" customFormat="1" ht="14.45" x14ac:dyDescent="0.3">
      <c r="A479" s="321">
        <v>42926</v>
      </c>
      <c r="B479" s="323" t="s">
        <v>127</v>
      </c>
      <c r="C479" s="323"/>
      <c r="D479" s="392" t="s">
        <v>181</v>
      </c>
      <c r="E479" s="387">
        <v>351215</v>
      </c>
      <c r="F479" s="594"/>
      <c r="G479" s="578">
        <v>116</v>
      </c>
      <c r="H479" s="594">
        <v>3360776</v>
      </c>
      <c r="I479" s="2"/>
      <c r="J479" s="323" t="s">
        <v>2573</v>
      </c>
      <c r="K479" s="2"/>
      <c r="L479" s="2"/>
      <c r="M479" s="2"/>
      <c r="N479" s="2"/>
      <c r="O479" s="2"/>
      <c r="P479" s="2"/>
      <c r="Q479" s="2"/>
      <c r="R479" s="2"/>
      <c r="S479" s="2"/>
    </row>
    <row r="480" spans="1:19" s="562" customFormat="1" ht="14.45" x14ac:dyDescent="0.3">
      <c r="A480" s="321">
        <v>42930</v>
      </c>
      <c r="B480" s="323" t="s">
        <v>127</v>
      </c>
      <c r="C480" s="323"/>
      <c r="D480" s="392" t="s">
        <v>3493</v>
      </c>
      <c r="E480" s="387">
        <v>350425</v>
      </c>
      <c r="F480" s="594"/>
      <c r="G480" s="578">
        <v>89.95</v>
      </c>
      <c r="H480" s="594">
        <v>3393817</v>
      </c>
      <c r="I480" s="2"/>
      <c r="J480" s="323" t="s">
        <v>4195</v>
      </c>
      <c r="K480" s="2"/>
      <c r="L480" s="2"/>
      <c r="M480" s="2"/>
      <c r="N480" s="2"/>
      <c r="O480" s="2"/>
      <c r="P480" s="2"/>
      <c r="Q480" s="2"/>
      <c r="R480" s="2"/>
      <c r="S480" s="2"/>
    </row>
    <row r="481" spans="1:19" s="562" customFormat="1" ht="14.45" x14ac:dyDescent="0.3">
      <c r="A481" s="321">
        <v>42933</v>
      </c>
      <c r="B481" s="323" t="s">
        <v>127</v>
      </c>
      <c r="C481" s="323"/>
      <c r="D481" s="392" t="s">
        <v>3493</v>
      </c>
      <c r="E481" s="387">
        <v>350425</v>
      </c>
      <c r="F481" s="594"/>
      <c r="G481" s="578">
        <f>22.78+76.2</f>
        <v>98.98</v>
      </c>
      <c r="H481" s="594">
        <v>3393864</v>
      </c>
      <c r="I481" s="2"/>
      <c r="J481" s="323" t="s">
        <v>4256</v>
      </c>
      <c r="K481" s="2"/>
      <c r="L481" s="2"/>
      <c r="M481" s="2"/>
      <c r="N481" s="2"/>
      <c r="O481" s="2"/>
      <c r="P481" s="2"/>
      <c r="Q481" s="2"/>
      <c r="R481" s="2"/>
      <c r="S481" s="2"/>
    </row>
    <row r="482" spans="1:19" s="562" customFormat="1" ht="14.45" x14ac:dyDescent="0.3">
      <c r="A482" s="321">
        <v>42934</v>
      </c>
      <c r="B482" s="323" t="s">
        <v>127</v>
      </c>
      <c r="C482" s="323"/>
      <c r="D482" s="392" t="s">
        <v>3493</v>
      </c>
      <c r="E482" s="387">
        <v>350425</v>
      </c>
      <c r="F482" s="594"/>
      <c r="G482" s="578">
        <f>2.72+31.24</f>
        <v>33.96</v>
      </c>
      <c r="H482" s="594">
        <v>3334778</v>
      </c>
      <c r="I482" s="2"/>
      <c r="J482" s="323" t="s">
        <v>4256</v>
      </c>
      <c r="K482" s="2"/>
      <c r="L482" s="2"/>
      <c r="M482" s="2"/>
      <c r="N482" s="2"/>
      <c r="O482" s="2"/>
      <c r="P482" s="2"/>
      <c r="Q482" s="2"/>
      <c r="R482" s="2"/>
      <c r="S482" s="2"/>
    </row>
    <row r="483" spans="1:19" s="562" customFormat="1" ht="14.45" x14ac:dyDescent="0.3">
      <c r="A483" s="321">
        <v>42935</v>
      </c>
      <c r="B483" s="323" t="s">
        <v>127</v>
      </c>
      <c r="C483" s="323"/>
      <c r="D483" s="392" t="s">
        <v>3493</v>
      </c>
      <c r="E483" s="387">
        <v>350425</v>
      </c>
      <c r="F483" s="594"/>
      <c r="G483" s="578">
        <f>2.72+31.24</f>
        <v>33.96</v>
      </c>
      <c r="H483" s="594">
        <v>3390776</v>
      </c>
      <c r="I483" s="2"/>
      <c r="J483" s="323" t="s">
        <v>4256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562" customFormat="1" ht="14.45" x14ac:dyDescent="0.3">
      <c r="A484" s="321">
        <v>42936</v>
      </c>
      <c r="B484" s="323" t="s">
        <v>127</v>
      </c>
      <c r="C484" s="323"/>
      <c r="D484" s="392" t="s">
        <v>4257</v>
      </c>
      <c r="E484" s="387">
        <v>226546</v>
      </c>
      <c r="F484" s="594"/>
      <c r="G484" s="578">
        <f>6.29+34.69</f>
        <v>40.98</v>
      </c>
      <c r="H484" s="594">
        <v>3376688</v>
      </c>
      <c r="I484" s="2"/>
      <c r="J484" s="323" t="s">
        <v>179</v>
      </c>
      <c r="K484" s="2"/>
      <c r="L484" s="2"/>
      <c r="M484" s="2"/>
      <c r="N484" s="2"/>
      <c r="O484" s="2"/>
      <c r="P484" s="2"/>
      <c r="Q484" s="2"/>
      <c r="R484" s="2"/>
      <c r="S484" s="2"/>
    </row>
    <row r="485" spans="1:19" s="562" customFormat="1" ht="14.45" x14ac:dyDescent="0.3">
      <c r="A485" s="321">
        <v>42936</v>
      </c>
      <c r="B485" s="323" t="s">
        <v>127</v>
      </c>
      <c r="C485" s="323"/>
      <c r="D485" s="392" t="s">
        <v>4257</v>
      </c>
      <c r="E485" s="387">
        <v>226546</v>
      </c>
      <c r="F485" s="594"/>
      <c r="G485" s="578">
        <f>6.29+34.69</f>
        <v>40.98</v>
      </c>
      <c r="H485" s="594">
        <v>3404692</v>
      </c>
      <c r="I485" s="2"/>
      <c r="J485" s="323" t="s">
        <v>179</v>
      </c>
      <c r="K485" s="2"/>
      <c r="L485" s="2"/>
      <c r="M485" s="2"/>
      <c r="N485" s="2"/>
      <c r="O485" s="2"/>
      <c r="P485" s="2"/>
      <c r="Q485" s="2"/>
      <c r="R485" s="2"/>
      <c r="S485" s="2"/>
    </row>
    <row r="486" spans="1:19" s="562" customFormat="1" ht="14.45" x14ac:dyDescent="0.3">
      <c r="A486" s="321">
        <v>42936</v>
      </c>
      <c r="B486" s="323" t="s">
        <v>127</v>
      </c>
      <c r="C486" s="323"/>
      <c r="D486" s="392" t="s">
        <v>4258</v>
      </c>
      <c r="E486" s="387">
        <v>350100</v>
      </c>
      <c r="F486" s="594"/>
      <c r="G486" s="578">
        <v>69.2</v>
      </c>
      <c r="H486" s="594">
        <v>3322175</v>
      </c>
      <c r="I486" s="2"/>
      <c r="J486" s="323" t="s">
        <v>179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s="562" customFormat="1" ht="14.45" x14ac:dyDescent="0.3">
      <c r="A487" s="321">
        <v>42934</v>
      </c>
      <c r="B487" s="323" t="s">
        <v>127</v>
      </c>
      <c r="C487" s="323"/>
      <c r="D487" s="392" t="s">
        <v>2950</v>
      </c>
      <c r="E487" s="387">
        <v>213393</v>
      </c>
      <c r="F487" s="594"/>
      <c r="G487" s="578">
        <v>67.11</v>
      </c>
      <c r="H487" s="594">
        <v>3406250</v>
      </c>
      <c r="I487" s="2"/>
      <c r="J487" s="323" t="s">
        <v>179</v>
      </c>
      <c r="K487" s="2"/>
      <c r="L487" s="2"/>
      <c r="M487" s="2"/>
      <c r="N487" s="2"/>
      <c r="O487" s="2"/>
      <c r="P487" s="2"/>
      <c r="Q487" s="2"/>
      <c r="R487" s="2"/>
      <c r="S487" s="2"/>
    </row>
    <row r="488" spans="1:19" s="562" customFormat="1" ht="14.45" x14ac:dyDescent="0.3">
      <c r="A488" s="321">
        <v>42933</v>
      </c>
      <c r="B488" s="323" t="s">
        <v>127</v>
      </c>
      <c r="C488" s="323"/>
      <c r="D488" s="392" t="s">
        <v>2130</v>
      </c>
      <c r="E488" s="387">
        <v>214122</v>
      </c>
      <c r="F488" s="594"/>
      <c r="G488" s="578">
        <v>54.95</v>
      </c>
      <c r="H488" s="594">
        <v>3398249</v>
      </c>
      <c r="I488" s="2"/>
      <c r="J488" s="323" t="s">
        <v>179</v>
      </c>
      <c r="K488" s="2"/>
      <c r="L488" s="2"/>
      <c r="M488" s="2"/>
      <c r="N488" s="2"/>
      <c r="O488" s="2"/>
      <c r="P488" s="2"/>
      <c r="Q488" s="2"/>
      <c r="R488" s="2"/>
      <c r="S488" s="2"/>
    </row>
    <row r="489" spans="1:19" s="562" customFormat="1" ht="14.45" x14ac:dyDescent="0.3">
      <c r="A489" s="321">
        <v>42941</v>
      </c>
      <c r="B489" s="323" t="s">
        <v>127</v>
      </c>
      <c r="C489" s="323"/>
      <c r="D489" s="392" t="s">
        <v>2950</v>
      </c>
      <c r="E489" s="387">
        <v>213393</v>
      </c>
      <c r="F489" s="594"/>
      <c r="G489" s="578">
        <v>44.5</v>
      </c>
      <c r="H489" s="594">
        <v>3419219</v>
      </c>
      <c r="I489" s="328"/>
      <c r="J489" s="323" t="s">
        <v>4319</v>
      </c>
      <c r="K489" s="2"/>
      <c r="L489" s="2"/>
      <c r="M489" s="2"/>
      <c r="N489" s="2"/>
      <c r="O489" s="2"/>
      <c r="P489" s="2"/>
      <c r="Q489" s="2"/>
      <c r="R489" s="2"/>
      <c r="S489" s="2"/>
    </row>
    <row r="490" spans="1:19" s="562" customFormat="1" ht="14.45" x14ac:dyDescent="0.3">
      <c r="A490" s="321">
        <v>42923</v>
      </c>
      <c r="B490" s="323" t="s">
        <v>127</v>
      </c>
      <c r="C490" s="323"/>
      <c r="D490" s="392" t="s">
        <v>2277</v>
      </c>
      <c r="E490" s="387">
        <v>3310023</v>
      </c>
      <c r="F490" s="594"/>
      <c r="G490" s="578">
        <f>55.4+29.2</f>
        <v>84.6</v>
      </c>
      <c r="H490" s="597">
        <v>3310023</v>
      </c>
      <c r="I490" s="2"/>
      <c r="J490" s="323" t="s">
        <v>4259</v>
      </c>
      <c r="K490" s="2"/>
      <c r="L490" s="2"/>
      <c r="M490" s="2"/>
      <c r="N490" s="2"/>
      <c r="O490" s="2"/>
      <c r="P490" s="2"/>
      <c r="Q490" s="2"/>
      <c r="R490" s="2"/>
      <c r="S490" s="2"/>
    </row>
    <row r="491" spans="1:19" s="562" customFormat="1" ht="14.45" x14ac:dyDescent="0.3">
      <c r="A491" s="321">
        <v>42950</v>
      </c>
      <c r="B491" s="323" t="s">
        <v>127</v>
      </c>
      <c r="C491" s="323"/>
      <c r="D491" s="598" t="s">
        <v>4271</v>
      </c>
      <c r="E491" s="603">
        <v>218480</v>
      </c>
      <c r="F491" s="594"/>
      <c r="G491" s="578">
        <v>71.95</v>
      </c>
      <c r="H491" s="594">
        <v>3480061</v>
      </c>
      <c r="I491" s="328"/>
      <c r="J491" s="323" t="s">
        <v>4319</v>
      </c>
      <c r="K491" s="2"/>
      <c r="L491" s="2"/>
      <c r="M491" s="2"/>
      <c r="N491" s="2"/>
      <c r="O491" s="2"/>
      <c r="P491" s="2"/>
      <c r="Q491" s="2"/>
      <c r="R491" s="2"/>
      <c r="S491" s="2"/>
    </row>
    <row r="492" spans="1:19" s="562" customFormat="1" ht="14.45" x14ac:dyDescent="0.3">
      <c r="A492" s="321">
        <v>42950</v>
      </c>
      <c r="B492" s="323" t="s">
        <v>127</v>
      </c>
      <c r="C492" s="323"/>
      <c r="D492" s="599" t="s">
        <v>4348</v>
      </c>
      <c r="E492" s="604">
        <v>211549</v>
      </c>
      <c r="F492" s="314"/>
      <c r="G492" s="578">
        <f>142.32+17.73</f>
        <v>160.04999999999998</v>
      </c>
      <c r="H492" s="29">
        <v>3477694</v>
      </c>
      <c r="I492" s="2"/>
      <c r="J492" s="323" t="s">
        <v>4319</v>
      </c>
      <c r="K492" s="2"/>
      <c r="L492" s="2"/>
      <c r="M492" s="2"/>
      <c r="N492" s="2"/>
      <c r="O492" s="2"/>
      <c r="P492" s="2"/>
      <c r="Q492" s="2"/>
      <c r="R492" s="2"/>
      <c r="S492" s="2"/>
    </row>
    <row r="493" spans="1:19" s="562" customFormat="1" ht="14.45" x14ac:dyDescent="0.3">
      <c r="A493" s="321">
        <v>42948</v>
      </c>
      <c r="B493" s="323" t="s">
        <v>127</v>
      </c>
      <c r="C493" s="323"/>
      <c r="D493" s="599" t="s">
        <v>2130</v>
      </c>
      <c r="E493" s="604">
        <v>214122</v>
      </c>
      <c r="F493" s="314"/>
      <c r="G493" s="578">
        <v>147.94999999999999</v>
      </c>
      <c r="H493" s="29">
        <v>3463544</v>
      </c>
      <c r="I493" s="2"/>
      <c r="J493" s="323" t="s">
        <v>4319</v>
      </c>
      <c r="K493" s="2"/>
      <c r="L493" s="2"/>
      <c r="M493" s="2"/>
      <c r="N493" s="2"/>
      <c r="O493" s="2"/>
      <c r="P493" s="2"/>
      <c r="Q493" s="2"/>
      <c r="R493" s="2"/>
      <c r="S493" s="2"/>
    </row>
    <row r="494" spans="1:19" s="562" customFormat="1" ht="14.45" x14ac:dyDescent="0.3">
      <c r="A494" s="321">
        <v>42951</v>
      </c>
      <c r="B494" s="323" t="s">
        <v>127</v>
      </c>
      <c r="C494" s="323"/>
      <c r="D494" s="599" t="s">
        <v>4349</v>
      </c>
      <c r="E494" s="604">
        <v>354623</v>
      </c>
      <c r="F494" s="314"/>
      <c r="G494" s="578">
        <f>14.03+11.55</f>
        <v>25.58</v>
      </c>
      <c r="H494" s="79">
        <v>3480221</v>
      </c>
      <c r="I494" s="2"/>
      <c r="J494" s="323" t="s">
        <v>4319</v>
      </c>
      <c r="K494" s="2"/>
      <c r="L494" s="2"/>
      <c r="M494" s="2"/>
      <c r="N494" s="2"/>
      <c r="O494" s="2"/>
      <c r="P494" s="2"/>
      <c r="Q494" s="2"/>
      <c r="R494" s="2"/>
      <c r="S494" s="2"/>
    </row>
    <row r="495" spans="1:19" s="562" customFormat="1" ht="14.45" x14ac:dyDescent="0.3">
      <c r="A495" s="321">
        <v>42951</v>
      </c>
      <c r="B495" s="323" t="s">
        <v>127</v>
      </c>
      <c r="C495" s="323"/>
      <c r="D495" s="599" t="s">
        <v>4349</v>
      </c>
      <c r="E495" s="604">
        <v>354623</v>
      </c>
      <c r="F495" s="314"/>
      <c r="G495" s="578">
        <f>39.54+19.67</f>
        <v>59.21</v>
      </c>
      <c r="H495" s="79">
        <v>3482772</v>
      </c>
      <c r="I495" s="2"/>
      <c r="J495" s="323" t="s">
        <v>4319</v>
      </c>
      <c r="K495" s="2"/>
      <c r="L495" s="2"/>
      <c r="M495" s="2"/>
      <c r="N495" s="2"/>
      <c r="O495" s="2"/>
      <c r="P495" s="2"/>
      <c r="Q495" s="2"/>
      <c r="R495" s="2"/>
      <c r="S495" s="2"/>
    </row>
    <row r="496" spans="1:19" s="562" customFormat="1" ht="14.45" x14ac:dyDescent="0.3">
      <c r="A496" s="321">
        <v>42951</v>
      </c>
      <c r="B496" s="323" t="s">
        <v>127</v>
      </c>
      <c r="C496" s="323"/>
      <c r="D496" s="599" t="s">
        <v>4349</v>
      </c>
      <c r="E496" s="604">
        <v>354623</v>
      </c>
      <c r="F496" s="314"/>
      <c r="G496" s="578">
        <f>50.03+164.77</f>
        <v>214.8</v>
      </c>
      <c r="H496" s="79">
        <v>3483765</v>
      </c>
      <c r="I496" s="2"/>
      <c r="J496" s="323" t="s">
        <v>4319</v>
      </c>
      <c r="K496" s="2"/>
      <c r="L496" s="2"/>
      <c r="M496" s="2"/>
      <c r="N496" s="2"/>
      <c r="O496" s="2"/>
      <c r="P496" s="2"/>
      <c r="Q496" s="2"/>
      <c r="R496" s="2"/>
      <c r="S496" s="2"/>
    </row>
    <row r="497" spans="1:19" s="562" customFormat="1" ht="14.45" x14ac:dyDescent="0.3">
      <c r="A497" s="321">
        <v>42948</v>
      </c>
      <c r="B497" s="323" t="s">
        <v>127</v>
      </c>
      <c r="C497" s="323"/>
      <c r="D497" s="599" t="s">
        <v>4350</v>
      </c>
      <c r="E497" s="604">
        <v>354554</v>
      </c>
      <c r="F497" s="314"/>
      <c r="G497" s="578">
        <f>16.11+39.54</f>
        <v>55.65</v>
      </c>
      <c r="H497" s="79">
        <v>3460848</v>
      </c>
      <c r="I497" s="2"/>
      <c r="J497" s="323" t="s">
        <v>4319</v>
      </c>
      <c r="K497" s="2"/>
      <c r="L497" s="2"/>
      <c r="M497" s="2"/>
      <c r="N497" s="2"/>
      <c r="O497" s="2"/>
      <c r="P497" s="2"/>
      <c r="Q497" s="2"/>
      <c r="R497" s="2"/>
      <c r="S497" s="2"/>
    </row>
    <row r="498" spans="1:19" s="562" customFormat="1" ht="14.45" x14ac:dyDescent="0.3">
      <c r="A498" s="321">
        <v>42948</v>
      </c>
      <c r="B498" s="323" t="s">
        <v>127</v>
      </c>
      <c r="C498" s="323"/>
      <c r="D498" s="599" t="s">
        <v>4350</v>
      </c>
      <c r="E498" s="604">
        <v>354554</v>
      </c>
      <c r="F498" s="314"/>
      <c r="G498" s="578">
        <f>3.38+19.52</f>
        <v>22.9</v>
      </c>
      <c r="H498" s="79">
        <v>3461316</v>
      </c>
      <c r="I498" s="2"/>
      <c r="J498" s="323" t="s">
        <v>4319</v>
      </c>
      <c r="K498" s="2"/>
      <c r="L498" s="2"/>
      <c r="M498" s="2"/>
      <c r="N498" s="2"/>
      <c r="O498" s="2"/>
      <c r="P498" s="2"/>
      <c r="Q498" s="2"/>
      <c r="R498" s="2"/>
      <c r="S498" s="2"/>
    </row>
    <row r="499" spans="1:19" s="562" customFormat="1" ht="14.45" x14ac:dyDescent="0.3">
      <c r="A499" s="321">
        <v>42948</v>
      </c>
      <c r="B499" s="323" t="s">
        <v>127</v>
      </c>
      <c r="C499" s="323"/>
      <c r="D499" s="599" t="s">
        <v>4350</v>
      </c>
      <c r="E499" s="604">
        <v>354554</v>
      </c>
      <c r="F499" s="314"/>
      <c r="G499" s="578">
        <f>111.85+10</f>
        <v>121.85</v>
      </c>
      <c r="H499" s="79">
        <v>3465997</v>
      </c>
      <c r="I499" s="2"/>
      <c r="J499" s="323" t="s">
        <v>4319</v>
      </c>
      <c r="K499" s="2"/>
      <c r="L499" s="2"/>
      <c r="M499" s="2"/>
      <c r="N499" s="2"/>
      <c r="O499" s="2"/>
      <c r="P499" s="2"/>
      <c r="Q499" s="2"/>
      <c r="R499" s="2"/>
      <c r="S499" s="2"/>
    </row>
    <row r="500" spans="1:19" s="562" customFormat="1" ht="14.45" x14ac:dyDescent="0.3">
      <c r="A500" s="321">
        <v>42949</v>
      </c>
      <c r="B500" s="323" t="s">
        <v>127</v>
      </c>
      <c r="C500" s="323"/>
      <c r="D500" s="599" t="s">
        <v>4350</v>
      </c>
      <c r="E500" s="604">
        <v>354554</v>
      </c>
      <c r="F500" s="314"/>
      <c r="G500" s="578">
        <f>32.32+54.63</f>
        <v>86.95</v>
      </c>
      <c r="H500" s="79">
        <v>3469654</v>
      </c>
      <c r="I500" s="2"/>
      <c r="J500" s="323" t="s">
        <v>4319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562" customFormat="1" ht="14.45" x14ac:dyDescent="0.3">
      <c r="A501" s="321">
        <v>42949</v>
      </c>
      <c r="B501" s="323" t="s">
        <v>127</v>
      </c>
      <c r="C501" s="323"/>
      <c r="D501" s="599" t="s">
        <v>4350</v>
      </c>
      <c r="E501" s="604">
        <v>354554</v>
      </c>
      <c r="F501" s="314"/>
      <c r="G501" s="578">
        <f>18.89+39.01</f>
        <v>57.9</v>
      </c>
      <c r="H501" s="79">
        <v>3474853</v>
      </c>
      <c r="I501" s="2"/>
      <c r="J501" s="323" t="s">
        <v>4319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562" customFormat="1" ht="14.45" x14ac:dyDescent="0.3">
      <c r="A502" s="321">
        <v>42950</v>
      </c>
      <c r="B502" s="323" t="s">
        <v>127</v>
      </c>
      <c r="C502" s="323"/>
      <c r="D502" s="599" t="s">
        <v>4350</v>
      </c>
      <c r="E502" s="604">
        <v>354554</v>
      </c>
      <c r="F502" s="314"/>
      <c r="G502" s="578">
        <f>39.69+193.56</f>
        <v>233.25</v>
      </c>
      <c r="H502" s="79">
        <v>3469878</v>
      </c>
      <c r="I502" s="2"/>
      <c r="J502" s="323" t="s">
        <v>4319</v>
      </c>
      <c r="K502" s="2"/>
      <c r="L502" s="2"/>
      <c r="M502" s="2"/>
      <c r="N502" s="2"/>
      <c r="O502" s="2"/>
      <c r="P502" s="2"/>
      <c r="Q502" s="2"/>
      <c r="R502" s="2"/>
      <c r="S502" s="2"/>
    </row>
    <row r="503" spans="1:19" s="562" customFormat="1" ht="14.45" x14ac:dyDescent="0.3">
      <c r="A503" s="321">
        <v>42947</v>
      </c>
      <c r="B503" s="323" t="s">
        <v>127</v>
      </c>
      <c r="C503" s="323"/>
      <c r="D503" s="319">
        <v>376277102996</v>
      </c>
      <c r="E503" s="314">
        <v>354554</v>
      </c>
      <c r="F503" s="314"/>
      <c r="G503" s="578">
        <f>18.02+92.06</f>
        <v>110.08</v>
      </c>
      <c r="H503" s="79">
        <v>3456419</v>
      </c>
      <c r="I503" s="2"/>
      <c r="J503" s="323" t="s">
        <v>4319</v>
      </c>
      <c r="K503" s="2"/>
      <c r="L503" s="2"/>
      <c r="M503" s="2"/>
      <c r="N503" s="2"/>
      <c r="O503" s="2"/>
      <c r="P503" s="2"/>
      <c r="Q503" s="2"/>
      <c r="R503" s="2"/>
      <c r="S503" s="2"/>
    </row>
    <row r="504" spans="1:19" s="562" customFormat="1" ht="14.45" x14ac:dyDescent="0.3">
      <c r="A504" s="321">
        <v>42947</v>
      </c>
      <c r="B504" s="323" t="s">
        <v>127</v>
      </c>
      <c r="C504" s="323"/>
      <c r="D504" s="319">
        <v>376277102996</v>
      </c>
      <c r="E504" s="314">
        <v>354554</v>
      </c>
      <c r="F504" s="314"/>
      <c r="G504" s="578">
        <f>24.47+8.48</f>
        <v>32.950000000000003</v>
      </c>
      <c r="H504" s="79">
        <v>3458613</v>
      </c>
      <c r="I504" s="2"/>
      <c r="J504" s="323" t="s">
        <v>4319</v>
      </c>
      <c r="K504" s="2"/>
      <c r="L504" s="2"/>
      <c r="M504" s="2"/>
      <c r="N504" s="2"/>
      <c r="O504" s="2"/>
      <c r="P504" s="2"/>
      <c r="Q504" s="2"/>
      <c r="R504" s="2"/>
      <c r="S504" s="2"/>
    </row>
    <row r="505" spans="1:19" s="562" customFormat="1" ht="14.45" x14ac:dyDescent="0.3">
      <c r="A505" s="321">
        <v>42954</v>
      </c>
      <c r="B505" s="323" t="s">
        <v>127</v>
      </c>
      <c r="C505" s="323"/>
      <c r="D505" s="392" t="s">
        <v>2130</v>
      </c>
      <c r="E505" s="386">
        <v>214122</v>
      </c>
      <c r="F505" s="594"/>
      <c r="G505" s="578">
        <f>10+57.2</f>
        <v>67.2</v>
      </c>
      <c r="H505" s="594">
        <v>3468957</v>
      </c>
      <c r="I505" s="328"/>
      <c r="J505" s="323" t="s">
        <v>179</v>
      </c>
      <c r="K505" s="2"/>
      <c r="L505" s="2"/>
      <c r="M505" s="2"/>
      <c r="N505" s="2"/>
      <c r="O505" s="2"/>
      <c r="P505" s="2"/>
      <c r="Q505" s="2"/>
      <c r="R505" s="2"/>
      <c r="S505" s="2"/>
    </row>
    <row r="506" spans="1:19" s="562" customFormat="1" ht="14.45" x14ac:dyDescent="0.3">
      <c r="A506" s="321">
        <v>42958</v>
      </c>
      <c r="B506" s="323" t="s">
        <v>127</v>
      </c>
      <c r="C506" s="323"/>
      <c r="D506" s="392" t="s">
        <v>2130</v>
      </c>
      <c r="E506" s="386">
        <v>214122</v>
      </c>
      <c r="F506" s="594"/>
      <c r="G506" s="578">
        <f>2.5+53.45</f>
        <v>55.95</v>
      </c>
      <c r="H506" s="594">
        <v>3512152</v>
      </c>
      <c r="I506" s="328"/>
      <c r="J506" s="323" t="s">
        <v>179</v>
      </c>
      <c r="K506" s="2"/>
      <c r="L506" s="2"/>
      <c r="M506" s="2"/>
      <c r="N506" s="2"/>
      <c r="O506" s="2"/>
      <c r="P506" s="2"/>
      <c r="Q506" s="2"/>
      <c r="R506" s="2"/>
      <c r="S506" s="2"/>
    </row>
    <row r="507" spans="1:19" s="562" customFormat="1" ht="14.45" x14ac:dyDescent="0.3">
      <c r="A507" s="321">
        <v>42954</v>
      </c>
      <c r="B507" s="323" t="s">
        <v>127</v>
      </c>
      <c r="C507" s="323"/>
      <c r="D507" s="392" t="s">
        <v>2950</v>
      </c>
      <c r="E507" s="386">
        <v>213393</v>
      </c>
      <c r="F507" s="594"/>
      <c r="G507" s="578">
        <f>32.15+4.9</f>
        <v>37.049999999999997</v>
      </c>
      <c r="H507" s="594">
        <v>3484309</v>
      </c>
      <c r="I507" s="328"/>
      <c r="J507" s="323" t="s">
        <v>179</v>
      </c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5" x14ac:dyDescent="0.3">
      <c r="A508" s="321">
        <v>42962</v>
      </c>
      <c r="B508" s="323" t="s">
        <v>127</v>
      </c>
      <c r="C508" s="323"/>
      <c r="D508" s="392">
        <v>376212020998</v>
      </c>
      <c r="E508" s="386">
        <v>211549</v>
      </c>
      <c r="F508" s="594"/>
      <c r="G508" s="578">
        <f>11.77+139.13</f>
        <v>150.9</v>
      </c>
      <c r="H508" s="594">
        <v>3523934</v>
      </c>
      <c r="I508" s="328"/>
      <c r="J508" s="323" t="s">
        <v>179</v>
      </c>
    </row>
    <row r="509" spans="1:19" s="562" customFormat="1" ht="14.45" x14ac:dyDescent="0.3">
      <c r="A509" s="321">
        <v>42970</v>
      </c>
      <c r="B509" s="323" t="s">
        <v>127</v>
      </c>
      <c r="C509" s="323"/>
      <c r="D509" s="392" t="s">
        <v>2130</v>
      </c>
      <c r="E509" s="386">
        <v>214122</v>
      </c>
      <c r="F509" s="594"/>
      <c r="G509" s="578">
        <f>57.2+10</f>
        <v>67.2</v>
      </c>
      <c r="H509" s="594">
        <v>3567067</v>
      </c>
      <c r="I509" s="328"/>
      <c r="J509" s="323" t="s">
        <v>179</v>
      </c>
      <c r="K509" s="2"/>
      <c r="L509" s="2"/>
      <c r="M509" s="2"/>
      <c r="N509" s="2"/>
      <c r="O509" s="2"/>
      <c r="P509" s="2"/>
      <c r="Q509" s="2"/>
      <c r="R509" s="2"/>
      <c r="S509" s="2"/>
    </row>
    <row r="510" spans="1:19" s="562" customFormat="1" ht="14.45" x14ac:dyDescent="0.3">
      <c r="A510" s="321">
        <v>42971</v>
      </c>
      <c r="B510" s="323" t="s">
        <v>127</v>
      </c>
      <c r="C510" s="323"/>
      <c r="D510" s="392" t="s">
        <v>2130</v>
      </c>
      <c r="E510" s="386">
        <v>214122</v>
      </c>
      <c r="F510" s="594"/>
      <c r="G510" s="578">
        <f>11.1+21.85</f>
        <v>32.950000000000003</v>
      </c>
      <c r="H510" s="594">
        <v>3558416</v>
      </c>
      <c r="I510" s="328"/>
      <c r="J510" s="323" t="s">
        <v>179</v>
      </c>
      <c r="K510" s="2"/>
      <c r="L510" s="2"/>
      <c r="M510" s="2"/>
      <c r="N510" s="2"/>
      <c r="O510" s="2"/>
      <c r="P510" s="2"/>
      <c r="Q510" s="2"/>
      <c r="R510" s="2"/>
      <c r="S510" s="2"/>
    </row>
    <row r="511" spans="1:19" s="562" customFormat="1" ht="14.45" x14ac:dyDescent="0.3">
      <c r="A511" s="321">
        <v>42977</v>
      </c>
      <c r="B511" s="323" t="s">
        <v>127</v>
      </c>
      <c r="C511" s="323"/>
      <c r="D511" s="392" t="s">
        <v>4664</v>
      </c>
      <c r="E511" s="387">
        <v>350197</v>
      </c>
      <c r="F511" s="594"/>
      <c r="G511" s="578">
        <f>5.67+32.45</f>
        <v>38.120000000000005</v>
      </c>
      <c r="H511" s="594">
        <v>3580000</v>
      </c>
      <c r="I511" s="597"/>
      <c r="J511" s="323" t="s">
        <v>4665</v>
      </c>
      <c r="K511" s="2"/>
      <c r="L511" s="2"/>
      <c r="M511" s="2"/>
      <c r="N511" s="2"/>
      <c r="O511" s="2"/>
      <c r="P511" s="2"/>
      <c r="Q511" s="2"/>
      <c r="R511" s="2"/>
      <c r="S511" s="2"/>
    </row>
    <row r="512" spans="1:19" s="562" customFormat="1" ht="14.45" x14ac:dyDescent="0.3">
      <c r="A512" s="321">
        <v>42977</v>
      </c>
      <c r="B512" s="323" t="s">
        <v>127</v>
      </c>
      <c r="C512" s="323"/>
      <c r="D512" s="392" t="s">
        <v>4664</v>
      </c>
      <c r="E512" s="387">
        <v>350197</v>
      </c>
      <c r="F512" s="594"/>
      <c r="G512" s="578">
        <f>34.46+69.26</f>
        <v>103.72</v>
      </c>
      <c r="H512" s="594">
        <v>3588456</v>
      </c>
      <c r="I512" s="597"/>
      <c r="J512" s="323" t="s">
        <v>4665</v>
      </c>
      <c r="K512" s="2"/>
      <c r="L512" s="2"/>
      <c r="M512" s="2"/>
      <c r="N512" s="2"/>
      <c r="O512" s="2"/>
      <c r="P512" s="2"/>
      <c r="Q512" s="2"/>
      <c r="R512" s="2"/>
      <c r="S512" s="2"/>
    </row>
    <row r="513" spans="1:19" s="562" customFormat="1" ht="14.45" x14ac:dyDescent="0.3">
      <c r="A513" s="321">
        <v>42977</v>
      </c>
      <c r="B513" s="323" t="s">
        <v>127</v>
      </c>
      <c r="C513" s="323"/>
      <c r="D513" s="392" t="s">
        <v>4664</v>
      </c>
      <c r="E513" s="387">
        <v>350197</v>
      </c>
      <c r="F513" s="594"/>
      <c r="G513" s="578">
        <f>14.49+43.71</f>
        <v>58.2</v>
      </c>
      <c r="H513" s="594">
        <v>3590485</v>
      </c>
      <c r="I513" s="597"/>
      <c r="J513" s="323" t="s">
        <v>4665</v>
      </c>
      <c r="K513" s="2"/>
      <c r="L513" s="2"/>
      <c r="M513" s="2"/>
      <c r="N513" s="2"/>
      <c r="O513" s="2"/>
      <c r="P513" s="2"/>
      <c r="Q513" s="2"/>
      <c r="R513" s="2"/>
      <c r="S513" s="2"/>
    </row>
    <row r="514" spans="1:19" s="562" customFormat="1" ht="14.45" x14ac:dyDescent="0.3">
      <c r="A514" s="321">
        <v>42978</v>
      </c>
      <c r="B514" s="323" t="s">
        <v>127</v>
      </c>
      <c r="C514" s="323"/>
      <c r="D514" s="392" t="s">
        <v>4664</v>
      </c>
      <c r="E514" s="387">
        <v>350197</v>
      </c>
      <c r="F514" s="594"/>
      <c r="G514" s="578">
        <f>5.85+40.06</f>
        <v>45.910000000000004</v>
      </c>
      <c r="H514" s="594">
        <v>3583327</v>
      </c>
      <c r="I514" s="597"/>
      <c r="J514" s="323" t="s">
        <v>4665</v>
      </c>
      <c r="K514" s="2"/>
      <c r="L514" s="2"/>
      <c r="M514" s="2"/>
      <c r="N514" s="2"/>
      <c r="O514" s="2"/>
      <c r="P514" s="2"/>
      <c r="Q514" s="2"/>
      <c r="R514" s="2"/>
      <c r="S514" s="2"/>
    </row>
    <row r="515" spans="1:19" s="562" customFormat="1" ht="14.45" x14ac:dyDescent="0.3">
      <c r="A515" s="321">
        <v>42979</v>
      </c>
      <c r="B515" s="323" t="s">
        <v>127</v>
      </c>
      <c r="C515" s="323"/>
      <c r="D515" s="392" t="s">
        <v>4664</v>
      </c>
      <c r="E515" s="387">
        <v>350197</v>
      </c>
      <c r="F515" s="594"/>
      <c r="G515" s="578">
        <f>20.71+84.18</f>
        <v>104.89000000000001</v>
      </c>
      <c r="H515" s="594">
        <v>3602027</v>
      </c>
      <c r="I515" s="597"/>
      <c r="J515" s="323" t="s">
        <v>4665</v>
      </c>
      <c r="K515" s="2"/>
      <c r="L515" s="2"/>
      <c r="M515" s="2"/>
      <c r="N515" s="2"/>
      <c r="O515" s="2"/>
      <c r="P515" s="2"/>
      <c r="Q515" s="2"/>
      <c r="R515" s="2"/>
      <c r="S515" s="2"/>
    </row>
    <row r="516" spans="1:19" s="562" customFormat="1" ht="14.45" x14ac:dyDescent="0.3">
      <c r="A516" s="321">
        <v>42949.44903935185</v>
      </c>
      <c r="B516" s="323" t="s">
        <v>127</v>
      </c>
      <c r="C516" s="323"/>
      <c r="D516" s="392" t="s">
        <v>4664</v>
      </c>
      <c r="E516" s="387">
        <v>350197</v>
      </c>
      <c r="F516" s="594"/>
      <c r="G516" s="578">
        <v>7.52</v>
      </c>
      <c r="H516" s="594">
        <v>3463150</v>
      </c>
      <c r="I516" s="597"/>
      <c r="J516" s="323" t="s">
        <v>4666</v>
      </c>
      <c r="K516" s="2"/>
      <c r="L516" s="2"/>
      <c r="M516" s="2"/>
      <c r="N516" s="2"/>
      <c r="O516" s="2"/>
      <c r="P516" s="2"/>
      <c r="Q516" s="2"/>
      <c r="R516" s="2"/>
      <c r="S516" s="2"/>
    </row>
    <row r="517" spans="1:19" s="562" customFormat="1" ht="14.45" x14ac:dyDescent="0.3">
      <c r="A517" s="321">
        <v>42950.067939814813</v>
      </c>
      <c r="B517" s="323" t="s">
        <v>127</v>
      </c>
      <c r="C517" s="323"/>
      <c r="D517" s="392" t="s">
        <v>4664</v>
      </c>
      <c r="E517" s="387">
        <v>350197</v>
      </c>
      <c r="F517" s="594"/>
      <c r="G517" s="578">
        <v>14.49</v>
      </c>
      <c r="H517" s="594">
        <v>3478133</v>
      </c>
      <c r="I517" s="597"/>
      <c r="J517" s="323" t="s">
        <v>4666</v>
      </c>
      <c r="K517" s="2"/>
      <c r="L517" s="2"/>
      <c r="M517" s="2"/>
      <c r="N517" s="2"/>
      <c r="O517" s="2"/>
      <c r="P517" s="2"/>
      <c r="Q517" s="2"/>
      <c r="R517" s="2"/>
      <c r="S517" s="2"/>
    </row>
    <row r="518" spans="1:19" s="562" customFormat="1" ht="14.45" x14ac:dyDescent="0.3">
      <c r="A518" s="321">
        <v>42951.07471064815</v>
      </c>
      <c r="B518" s="323" t="s">
        <v>127</v>
      </c>
      <c r="C518" s="323"/>
      <c r="D518" s="392" t="s">
        <v>4664</v>
      </c>
      <c r="E518" s="387">
        <v>350197</v>
      </c>
      <c r="F518" s="594"/>
      <c r="G518" s="578">
        <v>5.85</v>
      </c>
      <c r="H518" s="594">
        <v>3474471</v>
      </c>
      <c r="I518" s="597"/>
      <c r="J518" s="323" t="s">
        <v>4666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562" customFormat="1" ht="14.45" x14ac:dyDescent="0.3">
      <c r="A519" s="321">
        <v>42958.17396990741</v>
      </c>
      <c r="B519" s="323" t="s">
        <v>127</v>
      </c>
      <c r="C519" s="323"/>
      <c r="D519" s="392" t="s">
        <v>4664</v>
      </c>
      <c r="E519" s="387">
        <v>350197</v>
      </c>
      <c r="F519" s="594"/>
      <c r="G519" s="578">
        <v>13.3</v>
      </c>
      <c r="H519" s="594">
        <v>3515488</v>
      </c>
      <c r="I519" s="597"/>
      <c r="J519" s="323" t="s">
        <v>4666</v>
      </c>
      <c r="K519" s="2"/>
      <c r="L519" s="2"/>
      <c r="M519" s="2"/>
      <c r="N519" s="2"/>
      <c r="O519" s="2"/>
      <c r="P519" s="2"/>
      <c r="Q519" s="2"/>
      <c r="R519" s="2"/>
      <c r="S519" s="2"/>
    </row>
    <row r="520" spans="1:19" s="562" customFormat="1" ht="14.45" x14ac:dyDescent="0.3">
      <c r="A520" s="321">
        <v>42961.142777777779</v>
      </c>
      <c r="B520" s="323" t="s">
        <v>127</v>
      </c>
      <c r="C520" s="323"/>
      <c r="D520" s="392" t="s">
        <v>4664</v>
      </c>
      <c r="E520" s="387">
        <v>350197</v>
      </c>
      <c r="F520" s="594"/>
      <c r="G520" s="578">
        <v>8.4</v>
      </c>
      <c r="H520" s="594">
        <v>3519030</v>
      </c>
      <c r="I520" s="597"/>
      <c r="J520" s="323" t="s">
        <v>4666</v>
      </c>
      <c r="K520" s="2"/>
      <c r="L520" s="2"/>
      <c r="M520" s="2"/>
      <c r="N520" s="2"/>
      <c r="O520" s="2"/>
      <c r="P520" s="2"/>
      <c r="Q520" s="2"/>
      <c r="R520" s="2"/>
      <c r="S520" s="2"/>
    </row>
    <row r="521" spans="1:19" s="562" customFormat="1" ht="14.45" x14ac:dyDescent="0.3">
      <c r="A521" s="321">
        <v>42963.423206018517</v>
      </c>
      <c r="B521" s="323" t="s">
        <v>127</v>
      </c>
      <c r="C521" s="323"/>
      <c r="D521" s="392" t="s">
        <v>4664</v>
      </c>
      <c r="E521" s="387">
        <v>350197</v>
      </c>
      <c r="F521" s="594"/>
      <c r="G521" s="578">
        <v>5.85</v>
      </c>
      <c r="H521" s="594">
        <v>3531107</v>
      </c>
      <c r="I521" s="597"/>
      <c r="J521" s="323" t="s">
        <v>4666</v>
      </c>
      <c r="K521" s="2"/>
      <c r="L521" s="2"/>
      <c r="M521" s="2"/>
      <c r="N521" s="2"/>
      <c r="O521" s="2"/>
      <c r="P521" s="2"/>
      <c r="Q521" s="2"/>
      <c r="R521" s="2"/>
      <c r="S521" s="2"/>
    </row>
    <row r="522" spans="1:19" s="562" customFormat="1" ht="14.45" x14ac:dyDescent="0.3">
      <c r="A522" s="321">
        <v>42968.138356481482</v>
      </c>
      <c r="B522" s="323" t="s">
        <v>127</v>
      </c>
      <c r="C522" s="323"/>
      <c r="D522" s="392" t="s">
        <v>4664</v>
      </c>
      <c r="E522" s="387">
        <v>350197</v>
      </c>
      <c r="F522" s="594"/>
      <c r="G522" s="578">
        <v>25.3</v>
      </c>
      <c r="H522" s="594">
        <v>3549888</v>
      </c>
      <c r="I522" s="597"/>
      <c r="J522" s="323" t="s">
        <v>4666</v>
      </c>
      <c r="K522" s="2"/>
      <c r="L522" s="2"/>
      <c r="M522" s="2"/>
      <c r="N522" s="2"/>
      <c r="O522" s="2"/>
      <c r="P522" s="2"/>
      <c r="Q522" s="2"/>
      <c r="R522" s="2"/>
      <c r="S522" s="2"/>
    </row>
    <row r="523" spans="1:19" s="562" customFormat="1" ht="14.45" x14ac:dyDescent="0.3">
      <c r="A523" s="321">
        <v>42968.212476851855</v>
      </c>
      <c r="B523" s="323" t="s">
        <v>127</v>
      </c>
      <c r="C523" s="323"/>
      <c r="D523" s="392" t="s">
        <v>4664</v>
      </c>
      <c r="E523" s="387">
        <v>350197</v>
      </c>
      <c r="F523" s="594"/>
      <c r="G523" s="578">
        <v>22.53</v>
      </c>
      <c r="H523" s="594">
        <v>3550318</v>
      </c>
      <c r="I523" s="597"/>
      <c r="J523" s="323" t="s">
        <v>4666</v>
      </c>
      <c r="K523" s="2"/>
      <c r="L523" s="2"/>
      <c r="M523" s="2"/>
      <c r="N523" s="2"/>
      <c r="O523" s="2"/>
      <c r="P523" s="2"/>
      <c r="Q523" s="2"/>
      <c r="R523" s="2"/>
      <c r="S523" s="2"/>
    </row>
    <row r="524" spans="1:19" s="562" customFormat="1" ht="14.45" x14ac:dyDescent="0.3">
      <c r="A524" s="321">
        <v>42971.25136574074</v>
      </c>
      <c r="B524" s="323" t="s">
        <v>127</v>
      </c>
      <c r="C524" s="323"/>
      <c r="D524" s="392" t="s">
        <v>4664</v>
      </c>
      <c r="E524" s="387">
        <v>350197</v>
      </c>
      <c r="F524" s="594"/>
      <c r="G524" s="578">
        <v>12.13</v>
      </c>
      <c r="H524" s="594">
        <v>3566050</v>
      </c>
      <c r="I524" s="597"/>
      <c r="J524" s="323" t="s">
        <v>4666</v>
      </c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5" x14ac:dyDescent="0.3">
      <c r="A525" s="321">
        <v>42978</v>
      </c>
      <c r="B525" s="323" t="s">
        <v>127</v>
      </c>
      <c r="C525" s="323"/>
      <c r="D525" s="392" t="s">
        <v>2812</v>
      </c>
      <c r="E525" s="387">
        <v>916</v>
      </c>
      <c r="F525" s="594"/>
      <c r="G525" s="578">
        <f>25.22+29.86</f>
        <v>55.08</v>
      </c>
      <c r="H525" s="594">
        <v>3588541</v>
      </c>
      <c r="I525" s="597"/>
      <c r="J525" s="323" t="s">
        <v>182</v>
      </c>
    </row>
    <row r="526" spans="1:19" s="562" customFormat="1" x14ac:dyDescent="0.25">
      <c r="A526" s="321">
        <v>42984</v>
      </c>
      <c r="B526" s="323" t="s">
        <v>127</v>
      </c>
      <c r="C526" s="323"/>
      <c r="D526" s="392" t="s">
        <v>4664</v>
      </c>
      <c r="E526" s="387">
        <v>350197</v>
      </c>
      <c r="F526" s="594"/>
      <c r="G526" s="578">
        <f>21.81+91.56</f>
        <v>113.37</v>
      </c>
      <c r="H526" s="594">
        <v>3608163</v>
      </c>
      <c r="I526" s="597"/>
      <c r="J526" s="323" t="s">
        <v>4823</v>
      </c>
      <c r="K526" s="2"/>
      <c r="L526" s="2"/>
      <c r="M526" s="2"/>
      <c r="N526" s="2"/>
      <c r="O526" s="2"/>
      <c r="P526" s="2"/>
      <c r="Q526" s="2"/>
      <c r="R526" s="2"/>
      <c r="S526" s="2"/>
    </row>
    <row r="527" spans="1:19" s="562" customFormat="1" x14ac:dyDescent="0.25">
      <c r="A527" s="321">
        <v>42984</v>
      </c>
      <c r="B527" s="323" t="s">
        <v>127</v>
      </c>
      <c r="C527" s="323"/>
      <c r="D527" s="392" t="s">
        <v>4664</v>
      </c>
      <c r="E527" s="387">
        <v>350197</v>
      </c>
      <c r="F527" s="594"/>
      <c r="G527" s="578">
        <f>22.53+103.56</f>
        <v>126.09</v>
      </c>
      <c r="H527" s="594">
        <v>3617814</v>
      </c>
      <c r="I527" s="597"/>
      <c r="J527" s="323" t="s">
        <v>4823</v>
      </c>
      <c r="K527" s="2"/>
      <c r="L527" s="2"/>
      <c r="M527" s="2"/>
      <c r="N527" s="2"/>
      <c r="O527" s="2"/>
      <c r="P527" s="2"/>
      <c r="Q527" s="2"/>
      <c r="R527" s="2"/>
      <c r="S527" s="2"/>
    </row>
    <row r="528" spans="1:19" s="562" customFormat="1" x14ac:dyDescent="0.25">
      <c r="A528" s="321">
        <v>42990</v>
      </c>
      <c r="B528" s="323" t="s">
        <v>127</v>
      </c>
      <c r="C528" s="323"/>
      <c r="D528" s="392" t="s">
        <v>4664</v>
      </c>
      <c r="E528" s="387">
        <v>350197</v>
      </c>
      <c r="F528" s="594"/>
      <c r="G528" s="578">
        <f>5.85+40.06</f>
        <v>45.910000000000004</v>
      </c>
      <c r="H528" s="594">
        <v>3646043</v>
      </c>
      <c r="I528" s="597"/>
      <c r="J528" s="323" t="s">
        <v>4823</v>
      </c>
      <c r="K528" s="2"/>
      <c r="L528" s="2"/>
      <c r="M528" s="2"/>
      <c r="N528" s="2"/>
      <c r="O528" s="2"/>
      <c r="P528" s="2"/>
      <c r="Q528" s="2"/>
      <c r="R528" s="2"/>
      <c r="S528" s="2"/>
    </row>
    <row r="529" spans="1:19" s="562" customFormat="1" x14ac:dyDescent="0.25">
      <c r="A529" s="321">
        <v>42993</v>
      </c>
      <c r="B529" s="323" t="s">
        <v>127</v>
      </c>
      <c r="C529" s="323"/>
      <c r="D529" s="392" t="s">
        <v>4664</v>
      </c>
      <c r="E529" s="387">
        <v>350197</v>
      </c>
      <c r="F529" s="594"/>
      <c r="G529" s="578">
        <f>16.32+56.66</f>
        <v>72.97999999999999</v>
      </c>
      <c r="H529" s="594">
        <v>3659734</v>
      </c>
      <c r="I529" s="597"/>
      <c r="J529" s="323" t="s">
        <v>4823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562" customFormat="1" x14ac:dyDescent="0.25">
      <c r="A530" s="321">
        <v>42993</v>
      </c>
      <c r="B530" s="323" t="s">
        <v>127</v>
      </c>
      <c r="C530" s="323"/>
      <c r="D530" s="392" t="s">
        <v>4664</v>
      </c>
      <c r="E530" s="387">
        <v>350197</v>
      </c>
      <c r="F530" s="594"/>
      <c r="G530" s="578">
        <f>22.49+91.94</f>
        <v>114.42999999999999</v>
      </c>
      <c r="H530" s="594">
        <v>3660985</v>
      </c>
      <c r="I530" s="597"/>
      <c r="J530" s="323" t="s">
        <v>4823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s="562" customFormat="1" x14ac:dyDescent="0.25">
      <c r="A531" s="321">
        <v>42993</v>
      </c>
      <c r="B531" s="323" t="s">
        <v>127</v>
      </c>
      <c r="C531" s="323"/>
      <c r="D531" s="392" t="s">
        <v>4664</v>
      </c>
      <c r="E531" s="387">
        <v>350197</v>
      </c>
      <c r="F531" s="594"/>
      <c r="G531" s="578">
        <f>6.61+41.1</f>
        <v>47.71</v>
      </c>
      <c r="H531" s="594">
        <v>3662004</v>
      </c>
      <c r="I531" s="597"/>
      <c r="J531" s="323" t="s">
        <v>4823</v>
      </c>
      <c r="K531" s="2"/>
      <c r="L531" s="2"/>
      <c r="M531" s="2"/>
      <c r="N531" s="2"/>
      <c r="O531" s="2"/>
      <c r="P531" s="2"/>
      <c r="Q531" s="2"/>
      <c r="R531" s="2"/>
      <c r="S531" s="2"/>
    </row>
    <row r="532" spans="1:19" s="562" customFormat="1" x14ac:dyDescent="0.25">
      <c r="A532" s="321">
        <v>42993</v>
      </c>
      <c r="B532" s="323" t="s">
        <v>127</v>
      </c>
      <c r="C532" s="323"/>
      <c r="D532" s="392" t="s">
        <v>4664</v>
      </c>
      <c r="E532" s="387">
        <v>350197</v>
      </c>
      <c r="F532" s="594"/>
      <c r="G532" s="578">
        <f>7.75+28.19</f>
        <v>35.94</v>
      </c>
      <c r="H532" s="594">
        <v>3663616</v>
      </c>
      <c r="I532" s="597"/>
      <c r="J532" s="323" t="s">
        <v>4823</v>
      </c>
      <c r="K532" s="2"/>
      <c r="L532" s="2"/>
      <c r="M532" s="2"/>
      <c r="N532" s="2"/>
      <c r="O532" s="2"/>
      <c r="P532" s="2"/>
      <c r="Q532" s="2"/>
      <c r="R532" s="2"/>
      <c r="S532" s="2"/>
    </row>
    <row r="533" spans="1:19" s="562" customFormat="1" x14ac:dyDescent="0.25">
      <c r="A533" s="321">
        <v>42998</v>
      </c>
      <c r="B533" s="323" t="s">
        <v>127</v>
      </c>
      <c r="C533" s="323"/>
      <c r="D533" s="392" t="s">
        <v>4664</v>
      </c>
      <c r="E533" s="387">
        <v>350197</v>
      </c>
      <c r="F533" s="594"/>
      <c r="G533" s="578">
        <f>41.9+206.09</f>
        <v>247.99</v>
      </c>
      <c r="H533" s="594">
        <v>3680579</v>
      </c>
      <c r="I533" s="597"/>
      <c r="J533" s="323" t="s">
        <v>4823</v>
      </c>
      <c r="K533" s="2"/>
      <c r="L533" s="2"/>
      <c r="M533" s="2"/>
      <c r="N533" s="2"/>
      <c r="O533" s="2"/>
      <c r="P533" s="2"/>
      <c r="Q533" s="2"/>
      <c r="R533" s="2"/>
      <c r="S533" s="2"/>
    </row>
    <row r="534" spans="1:19" s="562" customFormat="1" x14ac:dyDescent="0.25">
      <c r="A534" s="321">
        <v>42999</v>
      </c>
      <c r="B534" s="323" t="s">
        <v>127</v>
      </c>
      <c r="C534" s="323"/>
      <c r="D534" s="392" t="s">
        <v>4664</v>
      </c>
      <c r="E534" s="387">
        <v>350197</v>
      </c>
      <c r="F534" s="594"/>
      <c r="G534" s="578">
        <f>12.13+39.71</f>
        <v>51.84</v>
      </c>
      <c r="H534" s="594">
        <v>3689776</v>
      </c>
      <c r="I534" s="597"/>
      <c r="J534" s="323" t="s">
        <v>4823</v>
      </c>
      <c r="K534" s="2"/>
      <c r="L534" s="2"/>
      <c r="M534" s="2"/>
      <c r="N534" s="2"/>
      <c r="O534" s="2"/>
      <c r="P534" s="2"/>
      <c r="Q534" s="2"/>
      <c r="R534" s="2"/>
      <c r="S534" s="2"/>
    </row>
    <row r="535" spans="1:19" s="562" customFormat="1" x14ac:dyDescent="0.25">
      <c r="A535" s="321">
        <v>42999</v>
      </c>
      <c r="B535" s="323" t="s">
        <v>127</v>
      </c>
      <c r="C535" s="323"/>
      <c r="D535" s="392" t="s">
        <v>4664</v>
      </c>
      <c r="E535" s="387">
        <v>350197</v>
      </c>
      <c r="F535" s="594"/>
      <c r="G535" s="578">
        <f>22.53+103.56</f>
        <v>126.09</v>
      </c>
      <c r="H535" s="594">
        <v>3656729</v>
      </c>
      <c r="I535" s="597"/>
      <c r="J535" s="323" t="s">
        <v>4823</v>
      </c>
      <c r="K535" s="2"/>
      <c r="L535" s="2"/>
      <c r="M535" s="2"/>
      <c r="N535" s="2"/>
      <c r="O535" s="2"/>
      <c r="P535" s="2"/>
      <c r="Q535" s="2"/>
      <c r="R535" s="2"/>
      <c r="S535" s="2"/>
    </row>
    <row r="536" spans="1:19" s="562" customFormat="1" x14ac:dyDescent="0.25">
      <c r="A536" s="321">
        <v>43000</v>
      </c>
      <c r="B536" s="323" t="s">
        <v>127</v>
      </c>
      <c r="C536" s="323"/>
      <c r="D536" s="392" t="s">
        <v>4664</v>
      </c>
      <c r="E536" s="387">
        <v>350197</v>
      </c>
      <c r="F536" s="594"/>
      <c r="G536" s="578">
        <f>13.31+47.06</f>
        <v>60.370000000000005</v>
      </c>
      <c r="H536" s="594">
        <v>3694283</v>
      </c>
      <c r="I536" s="597"/>
      <c r="J536" s="323" t="s">
        <v>4823</v>
      </c>
      <c r="K536" s="2"/>
      <c r="L536" s="2"/>
      <c r="M536" s="2"/>
      <c r="N536" s="2"/>
      <c r="O536" s="2"/>
      <c r="P536" s="2"/>
      <c r="Q536" s="2"/>
      <c r="R536" s="2"/>
      <c r="S536" s="2"/>
    </row>
    <row r="537" spans="1:19" s="562" customFormat="1" x14ac:dyDescent="0.25">
      <c r="A537" s="321">
        <v>42997</v>
      </c>
      <c r="B537" s="323" t="s">
        <v>127</v>
      </c>
      <c r="C537" s="323"/>
      <c r="D537" s="392" t="s">
        <v>2130</v>
      </c>
      <c r="E537" s="387">
        <v>214122</v>
      </c>
      <c r="F537" s="594"/>
      <c r="G537" s="578">
        <f>10.38+114.52</f>
        <v>124.89999999999999</v>
      </c>
      <c r="H537" s="594">
        <v>3678414</v>
      </c>
      <c r="I537" s="597"/>
      <c r="J537" s="323" t="s">
        <v>906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562" customFormat="1" x14ac:dyDescent="0.25">
      <c r="A538" s="321">
        <v>42998</v>
      </c>
      <c r="B538" s="323" t="s">
        <v>127</v>
      </c>
      <c r="C538" s="323"/>
      <c r="D538" s="392" t="s">
        <v>2130</v>
      </c>
      <c r="E538" s="387">
        <v>214122</v>
      </c>
      <c r="F538" s="594"/>
      <c r="G538" s="578">
        <f>10+57.2</f>
        <v>67.2</v>
      </c>
      <c r="H538" s="594">
        <v>3683223</v>
      </c>
      <c r="I538" s="597"/>
      <c r="J538" s="323" t="s">
        <v>906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s="562" customFormat="1" x14ac:dyDescent="0.25">
      <c r="A539" s="321">
        <v>43005</v>
      </c>
      <c r="B539" s="323" t="s">
        <v>127</v>
      </c>
      <c r="C539" s="323"/>
      <c r="D539" s="392" t="s">
        <v>4874</v>
      </c>
      <c r="E539" s="387">
        <v>354567</v>
      </c>
      <c r="F539" s="594"/>
      <c r="G539" s="578">
        <f>13.33+47.19</f>
        <v>60.519999999999996</v>
      </c>
      <c r="H539" s="594">
        <v>3707307</v>
      </c>
      <c r="I539" s="597"/>
      <c r="J539" s="323" t="s">
        <v>179</v>
      </c>
      <c r="K539" s="2"/>
      <c r="L539" s="2"/>
      <c r="M539" s="2"/>
      <c r="N539" s="2"/>
      <c r="O539" s="2"/>
      <c r="P539" s="2"/>
      <c r="Q539" s="2"/>
      <c r="R539" s="2"/>
      <c r="S539" s="2"/>
    </row>
    <row r="540" spans="1:19" s="562" customFormat="1" x14ac:dyDescent="0.25">
      <c r="A540" s="321">
        <v>43006</v>
      </c>
      <c r="B540" s="323" t="s">
        <v>127</v>
      </c>
      <c r="C540" s="323"/>
      <c r="D540" s="392" t="s">
        <v>4874</v>
      </c>
      <c r="E540" s="387">
        <v>354567</v>
      </c>
      <c r="F540" s="594"/>
      <c r="G540" s="578">
        <f>40.61+87.09</f>
        <v>127.7</v>
      </c>
      <c r="H540" s="594">
        <v>3715577</v>
      </c>
      <c r="I540" s="597"/>
      <c r="J540" s="323" t="s">
        <v>179</v>
      </c>
      <c r="K540" s="2"/>
      <c r="L540" s="2"/>
      <c r="M540" s="2"/>
      <c r="N540" s="2"/>
      <c r="O540" s="2"/>
      <c r="P540" s="2"/>
      <c r="Q540" s="2"/>
      <c r="R540" s="2"/>
      <c r="S540" s="2"/>
    </row>
    <row r="541" spans="1:19" s="562" customFormat="1" x14ac:dyDescent="0.25">
      <c r="A541" s="321">
        <v>43004</v>
      </c>
      <c r="B541" s="323" t="s">
        <v>127</v>
      </c>
      <c r="C541" s="323"/>
      <c r="D541" s="392" t="s">
        <v>4664</v>
      </c>
      <c r="E541" s="387">
        <v>350197</v>
      </c>
      <c r="F541" s="594"/>
      <c r="G541" s="578">
        <f>5.85+40.06</f>
        <v>45.910000000000004</v>
      </c>
      <c r="H541" s="594">
        <v>3705481</v>
      </c>
      <c r="I541" s="597"/>
      <c r="J541" s="323" t="s">
        <v>4875</v>
      </c>
      <c r="K541" s="2"/>
      <c r="L541" s="2"/>
      <c r="M541" s="2"/>
      <c r="N541" s="2"/>
      <c r="O541" s="2"/>
      <c r="P541" s="2"/>
      <c r="Q541" s="2"/>
      <c r="R541" s="2"/>
      <c r="S541" s="2"/>
    </row>
    <row r="542" spans="1:19" s="562" customFormat="1" x14ac:dyDescent="0.25">
      <c r="A542" s="321">
        <v>43005</v>
      </c>
      <c r="B542" s="323" t="s">
        <v>127</v>
      </c>
      <c r="C542" s="323"/>
      <c r="D542" s="392" t="s">
        <v>4664</v>
      </c>
      <c r="E542" s="387">
        <v>350197</v>
      </c>
      <c r="F542" s="594"/>
      <c r="G542" s="578">
        <f>14.49+43.71</f>
        <v>58.2</v>
      </c>
      <c r="H542" s="594">
        <v>3713485</v>
      </c>
      <c r="I542" s="597"/>
      <c r="J542" s="323" t="s">
        <v>4875</v>
      </c>
      <c r="K542" s="2"/>
      <c r="L542" s="2"/>
      <c r="M542" s="2"/>
      <c r="N542" s="2"/>
      <c r="O542" s="2"/>
      <c r="P542" s="2"/>
      <c r="Q542" s="2"/>
      <c r="R542" s="2"/>
      <c r="S542" s="2"/>
    </row>
    <row r="543" spans="1:19" s="562" customFormat="1" x14ac:dyDescent="0.25">
      <c r="A543" s="321">
        <v>43007</v>
      </c>
      <c r="B543" s="323" t="s">
        <v>127</v>
      </c>
      <c r="C543" s="323"/>
      <c r="D543" s="392" t="s">
        <v>4664</v>
      </c>
      <c r="E543" s="387">
        <v>350197</v>
      </c>
      <c r="F543" s="594"/>
      <c r="G543" s="578">
        <f>14.2+42.93</f>
        <v>57.129999999999995</v>
      </c>
      <c r="H543" s="594">
        <v>3722618</v>
      </c>
      <c r="I543" s="597"/>
      <c r="J543" s="323" t="s">
        <v>4875</v>
      </c>
      <c r="K543" s="2"/>
      <c r="L543" s="2"/>
      <c r="M543" s="2"/>
      <c r="N543" s="2"/>
      <c r="O543" s="2"/>
      <c r="P543" s="2"/>
      <c r="Q543" s="2"/>
      <c r="R543" s="2"/>
      <c r="S543" s="2"/>
    </row>
    <row r="544" spans="1:19" s="562" customFormat="1" x14ac:dyDescent="0.25">
      <c r="A544" s="321">
        <v>43013</v>
      </c>
      <c r="B544" s="323" t="s">
        <v>127</v>
      </c>
      <c r="C544" s="323"/>
      <c r="D544" s="392" t="s">
        <v>4874</v>
      </c>
      <c r="E544" s="387">
        <v>354567</v>
      </c>
      <c r="F544" s="594"/>
      <c r="G544" s="578">
        <f>130.58+119.64</f>
        <v>250.22000000000003</v>
      </c>
      <c r="H544" s="594">
        <v>3747396</v>
      </c>
      <c r="I544" s="597"/>
      <c r="J544" s="323" t="s">
        <v>179</v>
      </c>
      <c r="K544" s="2"/>
      <c r="L544" s="2"/>
      <c r="M544" s="2"/>
      <c r="N544" s="2"/>
      <c r="O544" s="2"/>
      <c r="P544" s="2"/>
      <c r="Q544" s="2"/>
      <c r="R544" s="2"/>
      <c r="S544" s="2"/>
    </row>
    <row r="545" spans="1:19" s="562" customFormat="1" x14ac:dyDescent="0.25">
      <c r="A545" s="321">
        <v>43013</v>
      </c>
      <c r="B545" s="323" t="s">
        <v>127</v>
      </c>
      <c r="C545" s="323"/>
      <c r="D545" s="392" t="s">
        <v>4874</v>
      </c>
      <c r="E545" s="387">
        <v>354567</v>
      </c>
      <c r="F545" s="594"/>
      <c r="G545" s="578">
        <f>171.38+52.2</f>
        <v>223.57999999999998</v>
      </c>
      <c r="H545" s="594">
        <v>3752018</v>
      </c>
      <c r="I545" s="597"/>
      <c r="J545" s="323" t="s">
        <v>179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562" customFormat="1" x14ac:dyDescent="0.25">
      <c r="A546" s="321">
        <v>43014</v>
      </c>
      <c r="B546" s="323" t="s">
        <v>127</v>
      </c>
      <c r="C546" s="323"/>
      <c r="D546" s="392" t="s">
        <v>4874</v>
      </c>
      <c r="E546" s="387">
        <v>354567</v>
      </c>
      <c r="F546" s="594"/>
      <c r="G546" s="578">
        <f>91.32+178.07</f>
        <v>269.39</v>
      </c>
      <c r="H546" s="594">
        <v>3751507</v>
      </c>
      <c r="I546" s="597"/>
      <c r="J546" s="323" t="s">
        <v>179</v>
      </c>
      <c r="K546" s="2"/>
      <c r="L546" s="2"/>
      <c r="M546" s="2"/>
      <c r="N546" s="2"/>
      <c r="O546" s="2"/>
      <c r="P546" s="2"/>
      <c r="Q546" s="2"/>
      <c r="R546" s="2"/>
      <c r="S546" s="2"/>
    </row>
    <row r="547" spans="1:19" s="562" customFormat="1" x14ac:dyDescent="0.25">
      <c r="A547" s="321">
        <v>43014</v>
      </c>
      <c r="B547" s="323" t="s">
        <v>127</v>
      </c>
      <c r="C547" s="323"/>
      <c r="D547" s="392" t="s">
        <v>4874</v>
      </c>
      <c r="E547" s="387">
        <v>354567</v>
      </c>
      <c r="F547" s="594"/>
      <c r="G547" s="578">
        <f>43.5+87.02</f>
        <v>130.51999999999998</v>
      </c>
      <c r="H547" s="594">
        <v>3754103</v>
      </c>
      <c r="I547" s="597"/>
      <c r="J547" s="323" t="s">
        <v>179</v>
      </c>
      <c r="K547" s="2"/>
      <c r="L547" s="2"/>
      <c r="M547" s="2"/>
      <c r="N547" s="2"/>
      <c r="O547" s="2"/>
      <c r="P547" s="2"/>
      <c r="Q547" s="2"/>
      <c r="R547" s="2"/>
      <c r="S547" s="2"/>
    </row>
    <row r="548" spans="1:19" s="562" customFormat="1" x14ac:dyDescent="0.25">
      <c r="A548" s="321">
        <v>43014</v>
      </c>
      <c r="B548" s="323" t="s">
        <v>127</v>
      </c>
      <c r="C548" s="323"/>
      <c r="D548" s="392" t="s">
        <v>4664</v>
      </c>
      <c r="E548" s="387">
        <v>350197</v>
      </c>
      <c r="F548" s="594"/>
      <c r="G548" s="578">
        <f>25.66+109.97</f>
        <v>135.63</v>
      </c>
      <c r="H548" s="594">
        <v>3757917</v>
      </c>
      <c r="I548" s="597"/>
      <c r="J548" s="323" t="s">
        <v>4875</v>
      </c>
      <c r="K548" s="2"/>
      <c r="L548" s="2"/>
      <c r="M548" s="2"/>
      <c r="N548" s="2"/>
      <c r="O548" s="2"/>
      <c r="P548" s="2"/>
      <c r="Q548" s="2"/>
      <c r="R548" s="2"/>
      <c r="S548" s="2"/>
    </row>
    <row r="549" spans="1:19" s="562" customFormat="1" x14ac:dyDescent="0.25">
      <c r="A549" s="321">
        <v>43014</v>
      </c>
      <c r="B549" s="323" t="s">
        <v>127</v>
      </c>
      <c r="C549" s="323"/>
      <c r="D549" s="392" t="s">
        <v>4664</v>
      </c>
      <c r="E549" s="387">
        <v>350197</v>
      </c>
      <c r="F549" s="594"/>
      <c r="G549" s="578">
        <f>19.66+41.77</f>
        <v>61.430000000000007</v>
      </c>
      <c r="H549" s="594">
        <v>3758675</v>
      </c>
      <c r="I549" s="597"/>
      <c r="J549" s="323" t="s">
        <v>4875</v>
      </c>
      <c r="K549" s="2"/>
      <c r="L549" s="2"/>
      <c r="M549" s="2"/>
      <c r="N549" s="2"/>
      <c r="O549" s="2"/>
      <c r="P549" s="2"/>
      <c r="Q549" s="2"/>
      <c r="R549" s="2"/>
      <c r="S549" s="2"/>
    </row>
    <row r="550" spans="1:19" s="562" customFormat="1" x14ac:dyDescent="0.25">
      <c r="A550" s="321">
        <v>43018</v>
      </c>
      <c r="B550" s="323" t="s">
        <v>127</v>
      </c>
      <c r="C550" s="323"/>
      <c r="D550" s="392" t="s">
        <v>4664</v>
      </c>
      <c r="E550" s="387">
        <v>350197</v>
      </c>
      <c r="F550" s="594"/>
      <c r="G550" s="578">
        <f>12.3+39.59</f>
        <v>51.89</v>
      </c>
      <c r="H550" s="597">
        <v>3759154</v>
      </c>
      <c r="I550" s="597"/>
      <c r="J550" s="323" t="s">
        <v>4875</v>
      </c>
      <c r="K550" s="2"/>
      <c r="L550" s="2"/>
      <c r="M550" s="2"/>
      <c r="N550" s="2"/>
      <c r="O550" s="2"/>
      <c r="P550" s="2"/>
      <c r="Q550" s="2"/>
      <c r="R550" s="2"/>
      <c r="S550" s="2"/>
    </row>
    <row r="551" spans="1:19" s="562" customFormat="1" x14ac:dyDescent="0.25">
      <c r="A551" s="321">
        <v>43018</v>
      </c>
      <c r="B551" s="323" t="s">
        <v>127</v>
      </c>
      <c r="C551" s="323"/>
      <c r="D551" s="392" t="s">
        <v>4664</v>
      </c>
      <c r="E551" s="387">
        <v>350197</v>
      </c>
      <c r="F551" s="594"/>
      <c r="G551" s="578">
        <f>5.85+40.06</f>
        <v>45.910000000000004</v>
      </c>
      <c r="H551" s="597">
        <v>3770042</v>
      </c>
      <c r="I551" s="597"/>
      <c r="J551" s="323" t="s">
        <v>4875</v>
      </c>
      <c r="K551" s="2"/>
      <c r="L551" s="2"/>
      <c r="M551" s="2"/>
      <c r="N551" s="2"/>
      <c r="O551" s="2"/>
      <c r="P551" s="2"/>
      <c r="Q551" s="2"/>
      <c r="R551" s="2"/>
      <c r="S551" s="2"/>
    </row>
    <row r="552" spans="1:19" s="562" customFormat="1" x14ac:dyDescent="0.25">
      <c r="A552" s="321">
        <v>43021</v>
      </c>
      <c r="B552" s="323" t="s">
        <v>127</v>
      </c>
      <c r="C552" s="323"/>
      <c r="D552" s="392" t="s">
        <v>4664</v>
      </c>
      <c r="E552" s="387">
        <v>350197</v>
      </c>
      <c r="F552" s="594"/>
      <c r="G552" s="578">
        <f>84.64+169.55</f>
        <v>254.19</v>
      </c>
      <c r="H552" s="597">
        <v>3788878</v>
      </c>
      <c r="I552" s="597"/>
      <c r="J552" s="323" t="s">
        <v>4900</v>
      </c>
      <c r="K552" s="2"/>
      <c r="L552" s="2"/>
      <c r="M552" s="2"/>
      <c r="N552" s="2"/>
      <c r="O552" s="2"/>
      <c r="P552" s="2"/>
      <c r="Q552" s="2"/>
      <c r="R552" s="2"/>
      <c r="S552" s="2"/>
    </row>
    <row r="553" spans="1:19" s="562" customFormat="1" x14ac:dyDescent="0.25">
      <c r="A553" s="321">
        <v>43019</v>
      </c>
      <c r="B553" s="323" t="s">
        <v>127</v>
      </c>
      <c r="C553" s="323"/>
      <c r="D553" s="392" t="s">
        <v>4874</v>
      </c>
      <c r="E553" s="387">
        <v>354567</v>
      </c>
      <c r="F553" s="594"/>
      <c r="G553" s="578">
        <f>48.66+135.53</f>
        <v>184.19</v>
      </c>
      <c r="H553" s="597">
        <v>3774446</v>
      </c>
      <c r="I553" s="597"/>
      <c r="J553" s="323" t="s">
        <v>2682</v>
      </c>
      <c r="K553" s="2"/>
      <c r="L553" s="2"/>
      <c r="M553" s="2"/>
      <c r="N553" s="2"/>
      <c r="O553" s="2"/>
      <c r="P553" s="2"/>
      <c r="Q553" s="2"/>
      <c r="R553" s="2"/>
      <c r="S553" s="2"/>
    </row>
    <row r="554" spans="1:19" s="562" customFormat="1" x14ac:dyDescent="0.25">
      <c r="A554" s="321">
        <v>43020</v>
      </c>
      <c r="B554" s="323" t="s">
        <v>127</v>
      </c>
      <c r="C554" s="323"/>
      <c r="D554" s="392" t="s">
        <v>4874</v>
      </c>
      <c r="E554" s="387">
        <v>354567</v>
      </c>
      <c r="F554" s="594"/>
      <c r="G554" s="578">
        <f>26.03+38.51</f>
        <v>64.539999999999992</v>
      </c>
      <c r="H554" s="597">
        <v>3784596</v>
      </c>
      <c r="I554" s="597"/>
      <c r="J554" s="323" t="s">
        <v>2682</v>
      </c>
      <c r="K554" s="2"/>
      <c r="L554" s="2"/>
      <c r="M554" s="2"/>
      <c r="N554" s="2"/>
      <c r="O554" s="2"/>
      <c r="P554" s="2"/>
      <c r="Q554" s="2"/>
      <c r="R554" s="2"/>
      <c r="S554" s="2"/>
    </row>
    <row r="555" spans="1:19" s="562" customFormat="1" x14ac:dyDescent="0.25">
      <c r="A555" s="321">
        <v>43020</v>
      </c>
      <c r="B555" s="323" t="s">
        <v>127</v>
      </c>
      <c r="C555" s="323"/>
      <c r="D555" s="392" t="s">
        <v>2950</v>
      </c>
      <c r="E555" s="387">
        <v>213393</v>
      </c>
      <c r="F555" s="594"/>
      <c r="G555" s="578">
        <f>6.58+102.27</f>
        <v>108.85</v>
      </c>
      <c r="H555" s="597">
        <v>3722254</v>
      </c>
      <c r="I555" s="597"/>
      <c r="J555" s="323" t="s">
        <v>2682</v>
      </c>
      <c r="K555" s="2"/>
      <c r="L555" s="2"/>
      <c r="M555" s="2"/>
      <c r="N555" s="2"/>
      <c r="O555" s="2"/>
      <c r="P555" s="2"/>
      <c r="Q555" s="2"/>
      <c r="R555" s="2"/>
      <c r="S555" s="2"/>
    </row>
    <row r="556" spans="1:19" s="562" customFormat="1" x14ac:dyDescent="0.25">
      <c r="A556" s="321">
        <v>43019</v>
      </c>
      <c r="B556" s="323" t="s">
        <v>127</v>
      </c>
      <c r="C556" s="323"/>
      <c r="D556" s="392" t="s">
        <v>2130</v>
      </c>
      <c r="E556" s="387">
        <v>214122</v>
      </c>
      <c r="F556" s="594"/>
      <c r="G556" s="578">
        <f>11.1+21.85</f>
        <v>32.950000000000003</v>
      </c>
      <c r="H556" s="597">
        <v>3775973</v>
      </c>
      <c r="I556" s="597"/>
      <c r="J556" s="323" t="s">
        <v>2682</v>
      </c>
      <c r="K556" s="2"/>
      <c r="L556" s="2"/>
      <c r="M556" s="2"/>
      <c r="N556" s="2"/>
      <c r="O556" s="2"/>
      <c r="P556" s="2"/>
      <c r="Q556" s="2"/>
      <c r="R556" s="2"/>
      <c r="S556" s="2"/>
    </row>
    <row r="557" spans="1:19" s="562" customFormat="1" x14ac:dyDescent="0.25">
      <c r="A557" s="321">
        <v>43024</v>
      </c>
      <c r="B557" s="323" t="s">
        <v>127</v>
      </c>
      <c r="C557" s="323"/>
      <c r="D557" s="392" t="s">
        <v>4874</v>
      </c>
      <c r="E557" s="387">
        <v>354567</v>
      </c>
      <c r="F557" s="594"/>
      <c r="G557" s="578">
        <f>15.43+46.09</f>
        <v>61.52</v>
      </c>
      <c r="H557" s="597">
        <v>3791970</v>
      </c>
      <c r="I557" s="597"/>
      <c r="J557" s="323" t="s">
        <v>179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562" customFormat="1" x14ac:dyDescent="0.25">
      <c r="A558" s="321">
        <v>43024</v>
      </c>
      <c r="B558" s="323" t="s">
        <v>127</v>
      </c>
      <c r="C558" s="323"/>
      <c r="D558" s="392" t="s">
        <v>4874</v>
      </c>
      <c r="E558" s="387">
        <v>354567</v>
      </c>
      <c r="F558" s="594"/>
      <c r="G558" s="578">
        <f>17.56+53.91</f>
        <v>71.47</v>
      </c>
      <c r="H558" s="597">
        <v>3791979</v>
      </c>
      <c r="I558" s="597"/>
      <c r="J558" s="323" t="s">
        <v>179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562" customFormat="1" x14ac:dyDescent="0.25">
      <c r="A559" s="321">
        <v>43026</v>
      </c>
      <c r="B559" s="323" t="s">
        <v>127</v>
      </c>
      <c r="C559" s="323"/>
      <c r="D559" s="392" t="s">
        <v>4874</v>
      </c>
      <c r="E559" s="387">
        <v>354567</v>
      </c>
      <c r="F559" s="594"/>
      <c r="G559" s="578">
        <f>48.09+186.11</f>
        <v>234.20000000000002</v>
      </c>
      <c r="H559" s="597">
        <v>3792057</v>
      </c>
      <c r="I559" s="597"/>
      <c r="J559" s="323" t="s">
        <v>179</v>
      </c>
      <c r="K559" s="2"/>
      <c r="L559" s="2"/>
      <c r="M559" s="2"/>
      <c r="N559" s="2"/>
      <c r="O559" s="2"/>
      <c r="P559" s="2"/>
      <c r="Q559" s="2"/>
      <c r="R559" s="2"/>
      <c r="S559" s="2"/>
    </row>
    <row r="560" spans="1:19" s="562" customFormat="1" x14ac:dyDescent="0.25">
      <c r="A560" s="321">
        <v>43026</v>
      </c>
      <c r="B560" s="323" t="s">
        <v>127</v>
      </c>
      <c r="C560" s="323"/>
      <c r="D560" s="392" t="s">
        <v>4874</v>
      </c>
      <c r="E560" s="387">
        <v>354567</v>
      </c>
      <c r="F560" s="594"/>
      <c r="G560" s="578">
        <f>3.63+19.82</f>
        <v>23.45</v>
      </c>
      <c r="H560" s="597">
        <v>3798197</v>
      </c>
      <c r="I560" s="597"/>
      <c r="J560" s="323" t="s">
        <v>179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562" customFormat="1" x14ac:dyDescent="0.25">
      <c r="A561" s="321">
        <v>43027</v>
      </c>
      <c r="B561" s="323" t="s">
        <v>127</v>
      </c>
      <c r="C561" s="323"/>
      <c r="D561" s="392" t="s">
        <v>4874</v>
      </c>
      <c r="E561" s="387">
        <v>354567</v>
      </c>
      <c r="F561" s="594"/>
      <c r="G561" s="578">
        <f>12.85+71.69</f>
        <v>84.539999999999992</v>
      </c>
      <c r="H561" s="597">
        <v>3810612</v>
      </c>
      <c r="I561" s="597"/>
      <c r="J561" s="323" t="s">
        <v>179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562" customFormat="1" x14ac:dyDescent="0.25">
      <c r="A562" s="321">
        <v>43025</v>
      </c>
      <c r="B562" s="323" t="s">
        <v>127</v>
      </c>
      <c r="C562" s="323"/>
      <c r="D562" s="392" t="s">
        <v>4664</v>
      </c>
      <c r="E562" s="387">
        <v>350197</v>
      </c>
      <c r="F562" s="594"/>
      <c r="G562" s="578">
        <f>6.21+41.44</f>
        <v>47.65</v>
      </c>
      <c r="H562" s="597">
        <v>3796016</v>
      </c>
      <c r="I562" s="597"/>
      <c r="J562" s="323" t="s">
        <v>5127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562" customFormat="1" x14ac:dyDescent="0.25">
      <c r="A563" s="321">
        <v>43027</v>
      </c>
      <c r="B563" s="323" t="s">
        <v>127</v>
      </c>
      <c r="C563" s="323"/>
      <c r="D563" s="392" t="s">
        <v>4664</v>
      </c>
      <c r="E563" s="387">
        <v>350197</v>
      </c>
      <c r="F563" s="594"/>
      <c r="G563" s="578">
        <f>6.61+41.1</f>
        <v>47.71</v>
      </c>
      <c r="H563" s="597">
        <v>3787666</v>
      </c>
      <c r="I563" s="597"/>
      <c r="J563" s="323" t="s">
        <v>5127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562" customFormat="1" x14ac:dyDescent="0.25">
      <c r="A564" s="321">
        <v>43027</v>
      </c>
      <c r="B564" s="323" t="s">
        <v>127</v>
      </c>
      <c r="C564" s="323"/>
      <c r="D564" s="392" t="s">
        <v>4664</v>
      </c>
      <c r="E564" s="387">
        <v>350197</v>
      </c>
      <c r="F564" s="594"/>
      <c r="G564" s="578">
        <f>5.68+33.92</f>
        <v>39.6</v>
      </c>
      <c r="H564" s="597">
        <v>3811613</v>
      </c>
      <c r="I564" s="597"/>
      <c r="J564" s="323" t="s">
        <v>5127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562" customFormat="1" x14ac:dyDescent="0.25">
      <c r="A565" s="321">
        <v>43028</v>
      </c>
      <c r="B565" s="323" t="s">
        <v>127</v>
      </c>
      <c r="C565" s="323"/>
      <c r="D565" s="392" t="s">
        <v>5128</v>
      </c>
      <c r="E565" s="387">
        <v>214782</v>
      </c>
      <c r="F565" s="594"/>
      <c r="G565" s="578">
        <f>9.84+84.88</f>
        <v>94.72</v>
      </c>
      <c r="H565" s="597">
        <v>3816162</v>
      </c>
      <c r="I565" s="597"/>
      <c r="J565" s="323" t="s">
        <v>179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562" customFormat="1" x14ac:dyDescent="0.25">
      <c r="A566" s="321">
        <v>43033</v>
      </c>
      <c r="B566" s="323" t="s">
        <v>127</v>
      </c>
      <c r="C566" s="323"/>
      <c r="D566" s="392" t="s">
        <v>4664</v>
      </c>
      <c r="E566" s="387">
        <v>350197</v>
      </c>
      <c r="F566" s="594"/>
      <c r="G566" s="578">
        <f>32.71+169.6</f>
        <v>202.31</v>
      </c>
      <c r="H566" s="597">
        <v>3809325</v>
      </c>
      <c r="I566" s="597"/>
      <c r="J566" s="323" t="s">
        <v>179</v>
      </c>
      <c r="K566" s="2"/>
      <c r="L566" s="2"/>
      <c r="M566" s="2"/>
      <c r="N566" s="2"/>
      <c r="O566" s="2"/>
      <c r="P566" s="2"/>
      <c r="Q566" s="2"/>
      <c r="R566" s="2"/>
      <c r="S566" s="2"/>
    </row>
    <row r="567" spans="1:19" s="562" customFormat="1" x14ac:dyDescent="0.25">
      <c r="A567" s="321">
        <v>43033</v>
      </c>
      <c r="B567" s="323" t="s">
        <v>127</v>
      </c>
      <c r="C567" s="323"/>
      <c r="D567" s="392" t="s">
        <v>4664</v>
      </c>
      <c r="E567" s="387">
        <v>350197</v>
      </c>
      <c r="F567" s="594"/>
      <c r="G567" s="578">
        <f>5.85+40.06</f>
        <v>45.910000000000004</v>
      </c>
      <c r="H567" s="597">
        <v>3835562</v>
      </c>
      <c r="I567" s="597"/>
      <c r="J567" s="323" t="s">
        <v>179</v>
      </c>
      <c r="K567" s="2"/>
      <c r="L567" s="2"/>
      <c r="M567" s="2"/>
      <c r="N567" s="2"/>
      <c r="O567" s="2"/>
      <c r="P567" s="2"/>
      <c r="Q567" s="2"/>
      <c r="R567" s="2"/>
      <c r="S567" s="2"/>
    </row>
    <row r="568" spans="1:19" s="562" customFormat="1" x14ac:dyDescent="0.25">
      <c r="A568" s="321">
        <v>43033</v>
      </c>
      <c r="B568" s="323" t="s">
        <v>127</v>
      </c>
      <c r="C568" s="323"/>
      <c r="D568" s="392" t="s">
        <v>4664</v>
      </c>
      <c r="E568" s="387">
        <v>350197</v>
      </c>
      <c r="F568" s="594"/>
      <c r="G568" s="578">
        <f>14.49+43.71</f>
        <v>58.2</v>
      </c>
      <c r="H568" s="597">
        <v>3839059</v>
      </c>
      <c r="I568" s="597"/>
      <c r="J568" s="323" t="s">
        <v>179</v>
      </c>
      <c r="K568" s="2"/>
      <c r="L568" s="2"/>
      <c r="M568" s="2"/>
      <c r="N568" s="2"/>
      <c r="O568" s="2"/>
      <c r="P568" s="2"/>
      <c r="Q568" s="2"/>
      <c r="R568" s="2"/>
      <c r="S568" s="2"/>
    </row>
    <row r="569" spans="1:19" s="562" customFormat="1" x14ac:dyDescent="0.25">
      <c r="A569" s="321">
        <v>43067</v>
      </c>
      <c r="B569" s="323" t="s">
        <v>127</v>
      </c>
      <c r="C569" s="323"/>
      <c r="D569" s="392" t="s">
        <v>2812</v>
      </c>
      <c r="E569" s="387">
        <v>916</v>
      </c>
      <c r="F569" s="594"/>
      <c r="G569" s="578">
        <f>29.35+43.63</f>
        <v>72.98</v>
      </c>
      <c r="H569" s="597">
        <v>3978934</v>
      </c>
      <c r="I569" s="597"/>
      <c r="J569" s="323" t="s">
        <v>182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562" customFormat="1" x14ac:dyDescent="0.25">
      <c r="A570" s="321">
        <v>43070</v>
      </c>
      <c r="B570" s="323" t="s">
        <v>127</v>
      </c>
      <c r="C570" s="323"/>
      <c r="D570" s="392" t="s">
        <v>3945</v>
      </c>
      <c r="E570" s="387">
        <v>352914</v>
      </c>
      <c r="F570" s="594"/>
      <c r="G570" s="578">
        <v>44.38</v>
      </c>
      <c r="H570" s="597">
        <v>3899963</v>
      </c>
      <c r="I570" s="597"/>
      <c r="J570" s="323" t="s">
        <v>179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562" customFormat="1" x14ac:dyDescent="0.25">
      <c r="A571" s="321">
        <v>43071</v>
      </c>
      <c r="B571" s="323" t="s">
        <v>127</v>
      </c>
      <c r="C571" s="323"/>
      <c r="D571" s="392" t="s">
        <v>1270</v>
      </c>
      <c r="E571" s="387">
        <v>216262</v>
      </c>
      <c r="F571" s="594"/>
      <c r="G571" s="578">
        <f>7.99+22.66</f>
        <v>30.65</v>
      </c>
      <c r="H571" s="597">
        <v>3809780</v>
      </c>
      <c r="I571" s="597"/>
      <c r="J571" s="323" t="s">
        <v>179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562" customFormat="1" x14ac:dyDescent="0.25">
      <c r="A572" s="321" t="s">
        <v>5301</v>
      </c>
      <c r="B572" s="323" t="s">
        <v>127</v>
      </c>
      <c r="C572" s="323"/>
      <c r="D572" s="392" t="s">
        <v>2225</v>
      </c>
      <c r="E572" s="387">
        <v>215404</v>
      </c>
      <c r="F572" s="594"/>
      <c r="G572" s="578">
        <f>10+28.95</f>
        <v>38.950000000000003</v>
      </c>
      <c r="H572" s="597">
        <v>3660448</v>
      </c>
      <c r="I572" s="597"/>
      <c r="J572" s="323" t="s">
        <v>5302</v>
      </c>
      <c r="K572" s="2"/>
      <c r="L572" s="2"/>
      <c r="M572" s="2"/>
      <c r="N572" s="2"/>
      <c r="O572" s="2"/>
      <c r="P572" s="2"/>
      <c r="Q572" s="2"/>
      <c r="R572" s="2"/>
      <c r="S572" s="2"/>
    </row>
    <row r="573" spans="1:19" s="562" customFormat="1" x14ac:dyDescent="0.25">
      <c r="A573" s="321">
        <v>43026</v>
      </c>
      <c r="B573" s="323" t="s">
        <v>127</v>
      </c>
      <c r="C573" s="323"/>
      <c r="D573" s="392" t="s">
        <v>2130</v>
      </c>
      <c r="E573" s="387">
        <v>214122</v>
      </c>
      <c r="F573" s="594"/>
      <c r="G573" s="578">
        <f>57.2+10</f>
        <v>67.2</v>
      </c>
      <c r="H573" s="597">
        <v>3806772</v>
      </c>
      <c r="I573" s="597"/>
      <c r="J573" s="323" t="s">
        <v>5303</v>
      </c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5">
      <c r="A574" s="321">
        <v>43080</v>
      </c>
      <c r="B574" s="323" t="s">
        <v>127</v>
      </c>
      <c r="C574" s="323"/>
      <c r="D574" s="392">
        <v>123456789101</v>
      </c>
      <c r="E574" s="387">
        <v>123456</v>
      </c>
      <c r="F574" s="594"/>
      <c r="G574" s="578">
        <v>100</v>
      </c>
      <c r="H574" s="597">
        <v>1234567</v>
      </c>
      <c r="I574" s="597"/>
      <c r="J574" s="323" t="s">
        <v>5304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165"/>
  <sheetViews>
    <sheetView topLeftCell="A2050" workbookViewId="0">
      <selection activeCell="C1877" sqref="C1877"/>
    </sheetView>
  </sheetViews>
  <sheetFormatPr defaultColWidth="8.7109375" defaultRowHeight="12.75" x14ac:dyDescent="0.2"/>
  <cols>
    <col min="1" max="1" width="18.28515625" style="212" bestFit="1" customWidth="1"/>
    <col min="2" max="2" width="8.7109375" style="117"/>
    <col min="3" max="3" width="20.28515625" style="117" customWidth="1"/>
    <col min="4" max="4" width="14.140625" style="117" bestFit="1" customWidth="1"/>
    <col min="5" max="5" width="8.7109375" style="113"/>
    <col min="6" max="9" width="8.7109375" style="117"/>
    <col min="10" max="10" width="99.85546875" style="117" customWidth="1"/>
    <col min="11" max="16384" width="8.7109375" style="117"/>
  </cols>
  <sheetData>
    <row r="1" spans="1:12" s="165" customFormat="1" x14ac:dyDescent="0.2">
      <c r="A1" s="172" t="s">
        <v>228</v>
      </c>
      <c r="B1" s="171" t="s">
        <v>229</v>
      </c>
      <c r="C1" s="171" t="s">
        <v>230</v>
      </c>
      <c r="D1" s="116" t="s">
        <v>231</v>
      </c>
      <c r="E1" s="171" t="s">
        <v>232</v>
      </c>
      <c r="F1" s="170" t="s">
        <v>233</v>
      </c>
      <c r="G1" s="167" t="s">
        <v>234</v>
      </c>
      <c r="H1" s="171" t="s">
        <v>235</v>
      </c>
      <c r="I1" s="166"/>
      <c r="J1" s="166" t="s">
        <v>236</v>
      </c>
    </row>
    <row r="2" spans="1:12" x14ac:dyDescent="0.2">
      <c r="A2" s="213">
        <v>42377</v>
      </c>
      <c r="B2" s="20" t="s">
        <v>127</v>
      </c>
      <c r="D2" s="120" t="s">
        <v>14</v>
      </c>
      <c r="E2" s="243">
        <v>224529</v>
      </c>
      <c r="F2" s="121"/>
      <c r="G2" s="122">
        <v>24.95</v>
      </c>
      <c r="H2" s="117">
        <v>1664931</v>
      </c>
      <c r="J2" s="123" t="s">
        <v>283</v>
      </c>
    </row>
    <row r="3" spans="1:12" x14ac:dyDescent="0.2">
      <c r="A3" s="213">
        <v>42377</v>
      </c>
      <c r="B3" s="20" t="s">
        <v>127</v>
      </c>
      <c r="D3" s="120" t="s">
        <v>14</v>
      </c>
      <c r="E3" s="243">
        <v>224529</v>
      </c>
      <c r="F3" s="121"/>
      <c r="G3" s="122">
        <v>76.05</v>
      </c>
      <c r="H3" s="117">
        <v>1664403</v>
      </c>
      <c r="J3" s="123" t="s">
        <v>283</v>
      </c>
    </row>
    <row r="4" spans="1:12" x14ac:dyDescent="0.2">
      <c r="A4" s="213">
        <v>42377</v>
      </c>
      <c r="B4" s="20" t="s">
        <v>127</v>
      </c>
      <c r="D4" s="120" t="s">
        <v>14</v>
      </c>
      <c r="E4" s="243">
        <v>224529</v>
      </c>
      <c r="F4" s="121"/>
      <c r="G4" s="122">
        <v>32.950000000000003</v>
      </c>
      <c r="H4" s="117">
        <v>1662466</v>
      </c>
      <c r="J4" s="123" t="s">
        <v>283</v>
      </c>
    </row>
    <row r="5" spans="1:12" x14ac:dyDescent="0.2">
      <c r="A5" s="213">
        <v>42377</v>
      </c>
      <c r="B5" s="20" t="s">
        <v>127</v>
      </c>
      <c r="D5" s="120" t="s">
        <v>14</v>
      </c>
      <c r="E5" s="243">
        <v>224529</v>
      </c>
      <c r="F5" s="121"/>
      <c r="G5" s="122">
        <v>66.95</v>
      </c>
      <c r="H5" s="117">
        <v>1661834</v>
      </c>
      <c r="J5" s="123" t="s">
        <v>283</v>
      </c>
    </row>
    <row r="6" spans="1:12" x14ac:dyDescent="0.2">
      <c r="A6" s="213">
        <v>42377</v>
      </c>
      <c r="B6" s="20" t="s">
        <v>127</v>
      </c>
      <c r="D6" s="120" t="s">
        <v>14</v>
      </c>
      <c r="E6" s="243">
        <v>224529</v>
      </c>
      <c r="F6" s="121"/>
      <c r="G6" s="122">
        <v>71.760000000000005</v>
      </c>
      <c r="H6" s="117">
        <v>1661834</v>
      </c>
      <c r="J6" s="123" t="s">
        <v>283</v>
      </c>
    </row>
    <row r="7" spans="1:12" x14ac:dyDescent="0.2">
      <c r="A7" s="213">
        <v>42375</v>
      </c>
      <c r="B7" s="20" t="s">
        <v>127</v>
      </c>
      <c r="D7" s="120" t="s">
        <v>284</v>
      </c>
      <c r="E7" s="243">
        <v>2206974</v>
      </c>
      <c r="F7" s="121"/>
      <c r="G7" s="122">
        <v>124.85</v>
      </c>
      <c r="H7" s="117">
        <v>1645946</v>
      </c>
      <c r="J7" s="123" t="s">
        <v>285</v>
      </c>
    </row>
    <row r="8" spans="1:12" x14ac:dyDescent="0.2">
      <c r="A8" s="213">
        <v>42376</v>
      </c>
      <c r="B8" s="20" t="s">
        <v>127</v>
      </c>
      <c r="D8" s="120" t="s">
        <v>286</v>
      </c>
      <c r="E8" s="243">
        <v>350330</v>
      </c>
      <c r="F8" s="121"/>
      <c r="G8" s="122">
        <v>66.61</v>
      </c>
      <c r="H8" s="117">
        <v>1662854</v>
      </c>
      <c r="J8" s="123" t="s">
        <v>287</v>
      </c>
    </row>
    <row r="9" spans="1:12" x14ac:dyDescent="0.2">
      <c r="A9" s="213">
        <v>42376</v>
      </c>
      <c r="B9" s="20" t="s">
        <v>127</v>
      </c>
      <c r="D9" s="120" t="s">
        <v>286</v>
      </c>
      <c r="E9" s="243">
        <v>350330</v>
      </c>
      <c r="F9" s="121"/>
      <c r="G9" s="122">
        <v>86.62</v>
      </c>
      <c r="H9" s="117">
        <v>1661097</v>
      </c>
      <c r="J9" s="123" t="s">
        <v>287</v>
      </c>
    </row>
    <row r="10" spans="1:12" x14ac:dyDescent="0.2">
      <c r="A10" s="213">
        <v>42375</v>
      </c>
      <c r="B10" s="20" t="s">
        <v>127</v>
      </c>
      <c r="D10" s="120" t="s">
        <v>286</v>
      </c>
      <c r="E10" s="243">
        <v>350330</v>
      </c>
      <c r="F10" s="121"/>
      <c r="G10" s="122">
        <v>129.94999999999999</v>
      </c>
      <c r="H10" s="117">
        <v>1655306</v>
      </c>
      <c r="J10" s="123" t="s">
        <v>287</v>
      </c>
    </row>
    <row r="11" spans="1:12" x14ac:dyDescent="0.2">
      <c r="A11" s="213">
        <v>42375</v>
      </c>
      <c r="B11" s="20" t="s">
        <v>127</v>
      </c>
      <c r="D11" s="120" t="s">
        <v>286</v>
      </c>
      <c r="E11" s="243">
        <v>350330</v>
      </c>
      <c r="F11" s="121"/>
      <c r="G11" s="122">
        <v>71.64</v>
      </c>
      <c r="H11" s="117">
        <v>1659006</v>
      </c>
      <c r="J11" s="123" t="s">
        <v>287</v>
      </c>
    </row>
    <row r="12" spans="1:12" x14ac:dyDescent="0.2">
      <c r="A12" s="213">
        <v>42373</v>
      </c>
      <c r="B12" s="20" t="s">
        <v>127</v>
      </c>
      <c r="D12" s="120" t="s">
        <v>286</v>
      </c>
      <c r="E12" s="243">
        <v>350330</v>
      </c>
      <c r="F12" s="121"/>
      <c r="G12" s="122">
        <v>26.65</v>
      </c>
      <c r="H12" s="117">
        <v>1638457</v>
      </c>
      <c r="J12" s="123" t="s">
        <v>287</v>
      </c>
    </row>
    <row r="13" spans="1:12" x14ac:dyDescent="0.2">
      <c r="A13" s="213">
        <v>42373</v>
      </c>
      <c r="B13" s="20" t="s">
        <v>127</v>
      </c>
      <c r="D13" s="120" t="s">
        <v>286</v>
      </c>
      <c r="E13" s="243">
        <v>350330</v>
      </c>
      <c r="F13" s="121"/>
      <c r="G13" s="122">
        <v>51.8</v>
      </c>
      <c r="H13" s="117">
        <v>1652631</v>
      </c>
      <c r="J13" s="123" t="s">
        <v>287</v>
      </c>
    </row>
    <row r="14" spans="1:12" x14ac:dyDescent="0.2">
      <c r="A14" s="213">
        <v>42373</v>
      </c>
      <c r="B14" s="20" t="s">
        <v>127</v>
      </c>
      <c r="D14" s="120" t="s">
        <v>286</v>
      </c>
      <c r="E14" s="243">
        <v>350330</v>
      </c>
      <c r="F14" s="121"/>
      <c r="G14" s="122">
        <v>139.96</v>
      </c>
      <c r="H14" s="117">
        <v>1646244</v>
      </c>
      <c r="J14" s="123" t="s">
        <v>287</v>
      </c>
    </row>
    <row r="15" spans="1:12" x14ac:dyDescent="0.2">
      <c r="A15" s="213">
        <v>42373</v>
      </c>
      <c r="B15" s="20" t="s">
        <v>127</v>
      </c>
      <c r="D15" s="120" t="s">
        <v>288</v>
      </c>
      <c r="E15" s="243">
        <v>219838</v>
      </c>
      <c r="F15" s="121"/>
      <c r="G15" s="122">
        <v>127.45</v>
      </c>
      <c r="H15" s="117">
        <v>1649763</v>
      </c>
      <c r="J15" s="124" t="s">
        <v>289</v>
      </c>
      <c r="K15" s="19"/>
      <c r="L15" s="19"/>
    </row>
    <row r="16" spans="1:12" x14ac:dyDescent="0.2">
      <c r="A16" s="213">
        <v>42373</v>
      </c>
      <c r="B16" s="20" t="s">
        <v>127</v>
      </c>
      <c r="D16" s="120" t="s">
        <v>288</v>
      </c>
      <c r="E16" s="243">
        <v>219838</v>
      </c>
      <c r="F16" s="121"/>
      <c r="G16" s="122">
        <v>129.57</v>
      </c>
      <c r="H16" s="117">
        <v>1649764</v>
      </c>
      <c r="J16" s="124" t="s">
        <v>289</v>
      </c>
      <c r="K16" s="19"/>
      <c r="L16" s="19"/>
    </row>
    <row r="17" spans="1:12" x14ac:dyDescent="0.2">
      <c r="A17" s="213">
        <v>42374</v>
      </c>
      <c r="B17" s="20" t="s">
        <v>127</v>
      </c>
      <c r="D17" s="120" t="s">
        <v>288</v>
      </c>
      <c r="E17" s="243">
        <v>219838</v>
      </c>
      <c r="F17" s="121"/>
      <c r="G17" s="122">
        <v>64.709999999999994</v>
      </c>
      <c r="H17" s="117">
        <v>1650928</v>
      </c>
      <c r="J17" s="124" t="s">
        <v>289</v>
      </c>
      <c r="K17" s="19"/>
      <c r="L17" s="19"/>
    </row>
    <row r="18" spans="1:12" x14ac:dyDescent="0.2">
      <c r="A18" s="213">
        <v>42377</v>
      </c>
      <c r="B18" s="20" t="s">
        <v>127</v>
      </c>
      <c r="D18" s="120" t="s">
        <v>288</v>
      </c>
      <c r="E18" s="243">
        <v>219838</v>
      </c>
      <c r="F18" s="121"/>
      <c r="G18" s="122">
        <v>43.79</v>
      </c>
      <c r="H18" s="117">
        <v>1665889</v>
      </c>
      <c r="J18" s="124" t="s">
        <v>289</v>
      </c>
      <c r="K18" s="19"/>
      <c r="L18" s="19"/>
    </row>
    <row r="19" spans="1:12" x14ac:dyDescent="0.2">
      <c r="A19" s="213">
        <v>42373</v>
      </c>
      <c r="B19" s="20" t="s">
        <v>127</v>
      </c>
      <c r="D19" s="120" t="s">
        <v>290</v>
      </c>
      <c r="E19" s="243">
        <v>350107</v>
      </c>
      <c r="F19" s="121"/>
      <c r="G19" s="122">
        <v>234.95</v>
      </c>
      <c r="H19" s="117">
        <v>1647628</v>
      </c>
      <c r="J19" s="123" t="s">
        <v>291</v>
      </c>
    </row>
    <row r="20" spans="1:12" x14ac:dyDescent="0.2">
      <c r="A20" s="214">
        <v>42374</v>
      </c>
      <c r="B20" s="20" t="s">
        <v>127</v>
      </c>
      <c r="D20" s="120" t="s">
        <v>290</v>
      </c>
      <c r="E20" s="243">
        <v>350107</v>
      </c>
      <c r="F20" s="121"/>
      <c r="G20" s="122">
        <v>153.80000000000001</v>
      </c>
      <c r="H20" s="117">
        <v>1655007</v>
      </c>
      <c r="J20" s="123" t="s">
        <v>291</v>
      </c>
    </row>
    <row r="21" spans="1:12" x14ac:dyDescent="0.2">
      <c r="A21" s="213">
        <v>42376</v>
      </c>
      <c r="B21" s="20" t="s">
        <v>127</v>
      </c>
      <c r="D21" s="120" t="s">
        <v>290</v>
      </c>
      <c r="E21" s="243">
        <v>350107</v>
      </c>
      <c r="F21" s="121"/>
      <c r="G21" s="122">
        <v>78.66</v>
      </c>
      <c r="H21" s="117">
        <v>1661113</v>
      </c>
      <c r="J21" s="123" t="s">
        <v>291</v>
      </c>
    </row>
    <row r="22" spans="1:12" x14ac:dyDescent="0.2">
      <c r="A22" s="213">
        <v>42373</v>
      </c>
      <c r="B22" s="20" t="s">
        <v>127</v>
      </c>
      <c r="D22" s="120" t="s">
        <v>292</v>
      </c>
      <c r="E22" s="243">
        <v>350536</v>
      </c>
      <c r="F22" s="121"/>
      <c r="G22" s="122">
        <v>74.849999999999994</v>
      </c>
      <c r="H22" s="117">
        <v>1647620</v>
      </c>
      <c r="J22" s="123" t="s">
        <v>291</v>
      </c>
    </row>
    <row r="23" spans="1:12" x14ac:dyDescent="0.2">
      <c r="A23" s="213">
        <v>42374</v>
      </c>
      <c r="B23" s="20" t="s">
        <v>127</v>
      </c>
      <c r="D23" s="120" t="s">
        <v>292</v>
      </c>
      <c r="E23" s="243">
        <v>350536</v>
      </c>
      <c r="F23" s="121"/>
      <c r="G23" s="122">
        <v>34.520000000000003</v>
      </c>
      <c r="H23" s="117">
        <v>1653077</v>
      </c>
      <c r="J23" s="123" t="s">
        <v>291</v>
      </c>
    </row>
    <row r="24" spans="1:12" x14ac:dyDescent="0.2">
      <c r="A24" s="213">
        <v>42375</v>
      </c>
      <c r="B24" s="20" t="s">
        <v>127</v>
      </c>
      <c r="D24" s="120" t="s">
        <v>292</v>
      </c>
      <c r="E24" s="243">
        <v>350536</v>
      </c>
      <c r="F24" s="121"/>
      <c r="G24" s="122">
        <v>582.51</v>
      </c>
      <c r="H24" s="117">
        <v>1654301</v>
      </c>
      <c r="J24" s="123" t="s">
        <v>291</v>
      </c>
    </row>
    <row r="25" spans="1:12" x14ac:dyDescent="0.2">
      <c r="A25" s="213">
        <v>42373</v>
      </c>
      <c r="B25" s="20" t="s">
        <v>127</v>
      </c>
      <c r="D25" s="120" t="s">
        <v>293</v>
      </c>
      <c r="E25" s="243">
        <v>350960</v>
      </c>
      <c r="F25" s="121"/>
      <c r="G25" s="122">
        <v>72.95</v>
      </c>
      <c r="H25" s="117">
        <v>1652370</v>
      </c>
      <c r="J25" s="123" t="s">
        <v>291</v>
      </c>
    </row>
    <row r="26" spans="1:12" x14ac:dyDescent="0.2">
      <c r="A26" s="213">
        <v>42373</v>
      </c>
      <c r="B26" s="20" t="s">
        <v>127</v>
      </c>
      <c r="D26" s="120" t="s">
        <v>293</v>
      </c>
      <c r="E26" s="243">
        <v>350960</v>
      </c>
      <c r="F26" s="121"/>
      <c r="G26" s="122">
        <v>289.95</v>
      </c>
      <c r="H26" s="117">
        <v>1647043</v>
      </c>
      <c r="J26" s="123" t="s">
        <v>291</v>
      </c>
    </row>
    <row r="27" spans="1:12" x14ac:dyDescent="0.2">
      <c r="A27" s="213">
        <v>42373</v>
      </c>
      <c r="B27" s="20" t="s">
        <v>127</v>
      </c>
      <c r="D27" s="120" t="s">
        <v>293</v>
      </c>
      <c r="E27" s="243">
        <v>350960</v>
      </c>
      <c r="F27" s="121"/>
      <c r="G27" s="122">
        <v>68.31</v>
      </c>
      <c r="H27" s="117">
        <v>1651780</v>
      </c>
      <c r="J27" s="123" t="s">
        <v>291</v>
      </c>
    </row>
    <row r="28" spans="1:12" x14ac:dyDescent="0.2">
      <c r="A28" s="213">
        <v>42374</v>
      </c>
      <c r="B28" s="20" t="s">
        <v>127</v>
      </c>
      <c r="D28" s="120" t="s">
        <v>293</v>
      </c>
      <c r="E28" s="243">
        <v>350960</v>
      </c>
      <c r="F28" s="121"/>
      <c r="G28" s="122">
        <v>53.9</v>
      </c>
      <c r="H28" s="117">
        <v>1649576</v>
      </c>
      <c r="J28" s="123" t="s">
        <v>291</v>
      </c>
    </row>
    <row r="29" spans="1:12" x14ac:dyDescent="0.2">
      <c r="A29" s="213">
        <v>42375</v>
      </c>
      <c r="B29" s="20" t="s">
        <v>127</v>
      </c>
      <c r="D29" s="120" t="s">
        <v>293</v>
      </c>
      <c r="E29" s="243">
        <v>350960</v>
      </c>
      <c r="F29" s="121"/>
      <c r="G29" s="122">
        <v>538.20000000000005</v>
      </c>
      <c r="H29" s="117">
        <v>1660455</v>
      </c>
      <c r="J29" s="123" t="s">
        <v>291</v>
      </c>
    </row>
    <row r="30" spans="1:12" s="203" customFormat="1" x14ac:dyDescent="0.2">
      <c r="A30" s="215">
        <v>42376</v>
      </c>
      <c r="B30" s="216" t="s">
        <v>127</v>
      </c>
      <c r="C30" s="203" t="s">
        <v>151</v>
      </c>
      <c r="D30" s="217" t="s">
        <v>294</v>
      </c>
      <c r="E30" s="244">
        <v>351283</v>
      </c>
      <c r="F30" s="217"/>
      <c r="G30" s="218">
        <v>78.91</v>
      </c>
      <c r="H30" s="203">
        <v>1663281</v>
      </c>
      <c r="J30" s="219" t="s">
        <v>295</v>
      </c>
    </row>
    <row r="31" spans="1:12" s="203" customFormat="1" x14ac:dyDescent="0.2">
      <c r="A31" s="215">
        <v>42376</v>
      </c>
      <c r="B31" s="216" t="s">
        <v>127</v>
      </c>
      <c r="C31" s="203" t="s">
        <v>151</v>
      </c>
      <c r="D31" s="217" t="s">
        <v>294</v>
      </c>
      <c r="E31" s="244">
        <v>351283</v>
      </c>
      <c r="F31" s="217"/>
      <c r="G31" s="218">
        <v>114.28</v>
      </c>
      <c r="H31" s="203">
        <v>1659553</v>
      </c>
      <c r="J31" s="219" t="s">
        <v>295</v>
      </c>
    </row>
    <row r="32" spans="1:12" s="203" customFormat="1" x14ac:dyDescent="0.2">
      <c r="A32" s="215">
        <v>42376</v>
      </c>
      <c r="B32" s="216" t="s">
        <v>127</v>
      </c>
      <c r="C32" s="203" t="s">
        <v>151</v>
      </c>
      <c r="D32" s="217" t="s">
        <v>294</v>
      </c>
      <c r="E32" s="244">
        <v>351283</v>
      </c>
      <c r="F32" s="217"/>
      <c r="G32" s="218">
        <v>61.88</v>
      </c>
      <c r="H32" s="203">
        <v>1658748</v>
      </c>
      <c r="J32" s="219" t="s">
        <v>295</v>
      </c>
    </row>
    <row r="33" spans="1:12" s="203" customFormat="1" x14ac:dyDescent="0.2">
      <c r="A33" s="215">
        <v>42374</v>
      </c>
      <c r="B33" s="216" t="s">
        <v>127</v>
      </c>
      <c r="C33" s="203" t="s">
        <v>151</v>
      </c>
      <c r="D33" s="217" t="s">
        <v>294</v>
      </c>
      <c r="E33" s="244">
        <v>351283</v>
      </c>
      <c r="F33" s="217"/>
      <c r="G33" s="218">
        <v>88.63</v>
      </c>
      <c r="H33" s="203">
        <v>1654937</v>
      </c>
      <c r="J33" s="219" t="s">
        <v>295</v>
      </c>
    </row>
    <row r="34" spans="1:12" s="203" customFormat="1" x14ac:dyDescent="0.2">
      <c r="A34" s="215">
        <v>42374</v>
      </c>
      <c r="B34" s="216" t="s">
        <v>127</v>
      </c>
      <c r="C34" s="203" t="s">
        <v>151</v>
      </c>
      <c r="D34" s="217" t="s">
        <v>296</v>
      </c>
      <c r="E34" s="244">
        <v>351318</v>
      </c>
      <c r="F34" s="217"/>
      <c r="G34" s="218">
        <v>49.9</v>
      </c>
      <c r="H34" s="203">
        <v>1655346</v>
      </c>
      <c r="J34" s="219" t="s">
        <v>295</v>
      </c>
    </row>
    <row r="35" spans="1:12" x14ac:dyDescent="0.2">
      <c r="A35" s="213">
        <v>42376</v>
      </c>
      <c r="B35" s="20" t="s">
        <v>127</v>
      </c>
      <c r="D35" s="120" t="s">
        <v>297</v>
      </c>
      <c r="E35" s="243">
        <v>351070</v>
      </c>
      <c r="F35" s="121"/>
      <c r="G35" s="122">
        <v>33.21</v>
      </c>
      <c r="H35" s="19">
        <v>1661127</v>
      </c>
      <c r="J35" s="123" t="s">
        <v>298</v>
      </c>
    </row>
    <row r="36" spans="1:12" s="203" customFormat="1" x14ac:dyDescent="0.2">
      <c r="A36" s="215">
        <v>42374</v>
      </c>
      <c r="B36" s="216" t="s">
        <v>127</v>
      </c>
      <c r="C36" s="203" t="s">
        <v>151</v>
      </c>
      <c r="D36" s="217" t="s">
        <v>299</v>
      </c>
      <c r="E36" s="244">
        <v>351315</v>
      </c>
      <c r="F36" s="217"/>
      <c r="G36" s="218">
        <v>209.95</v>
      </c>
      <c r="H36" s="203">
        <v>1648998</v>
      </c>
      <c r="J36" s="219" t="s">
        <v>295</v>
      </c>
    </row>
    <row r="37" spans="1:12" s="203" customFormat="1" x14ac:dyDescent="0.2">
      <c r="A37" s="215">
        <v>42375</v>
      </c>
      <c r="B37" s="216" t="s">
        <v>127</v>
      </c>
      <c r="C37" s="203" t="s">
        <v>151</v>
      </c>
      <c r="D37" s="217" t="s">
        <v>299</v>
      </c>
      <c r="E37" s="244">
        <v>351315</v>
      </c>
      <c r="F37" s="217"/>
      <c r="G37" s="218">
        <v>83.61</v>
      </c>
      <c r="H37" s="203">
        <v>1660773</v>
      </c>
      <c r="J37" s="219" t="s">
        <v>295</v>
      </c>
    </row>
    <row r="38" spans="1:12" s="203" customFormat="1" x14ac:dyDescent="0.2">
      <c r="A38" s="215">
        <v>42375</v>
      </c>
      <c r="B38" s="216" t="s">
        <v>127</v>
      </c>
      <c r="C38" s="203" t="s">
        <v>151</v>
      </c>
      <c r="D38" s="217" t="s">
        <v>299</v>
      </c>
      <c r="E38" s="244">
        <v>351315</v>
      </c>
      <c r="F38" s="217"/>
      <c r="G38" s="218">
        <v>-25</v>
      </c>
      <c r="H38" s="203">
        <v>1648998</v>
      </c>
      <c r="J38" s="219" t="s">
        <v>295</v>
      </c>
    </row>
    <row r="39" spans="1:12" s="203" customFormat="1" x14ac:dyDescent="0.2">
      <c r="A39" s="215">
        <v>42375</v>
      </c>
      <c r="B39" s="216" t="s">
        <v>127</v>
      </c>
      <c r="C39" s="203" t="s">
        <v>151</v>
      </c>
      <c r="D39" s="217" t="s">
        <v>299</v>
      </c>
      <c r="E39" s="244">
        <v>351315</v>
      </c>
      <c r="F39" s="217"/>
      <c r="G39" s="218">
        <v>59.95</v>
      </c>
      <c r="H39" s="203">
        <v>1660088</v>
      </c>
      <c r="J39" s="219" t="s">
        <v>295</v>
      </c>
    </row>
    <row r="40" spans="1:12" s="203" customFormat="1" x14ac:dyDescent="0.2">
      <c r="A40" s="215">
        <v>42376</v>
      </c>
      <c r="B40" s="216" t="s">
        <v>127</v>
      </c>
      <c r="C40" s="203" t="s">
        <v>151</v>
      </c>
      <c r="D40" s="217" t="s">
        <v>300</v>
      </c>
      <c r="E40" s="244">
        <v>351179</v>
      </c>
      <c r="F40" s="217"/>
      <c r="G40" s="218">
        <v>14.95</v>
      </c>
      <c r="H40" s="203">
        <v>1661794</v>
      </c>
      <c r="J40" s="220" t="s">
        <v>295</v>
      </c>
    </row>
    <row r="41" spans="1:12" x14ac:dyDescent="0.2">
      <c r="A41" s="213">
        <v>42381</v>
      </c>
      <c r="B41" s="115" t="s">
        <v>127</v>
      </c>
      <c r="D41" s="121" t="s">
        <v>193</v>
      </c>
      <c r="E41" s="243">
        <v>226743</v>
      </c>
      <c r="F41" s="121"/>
      <c r="G41" s="122">
        <v>76.05</v>
      </c>
      <c r="H41" s="19">
        <v>1674066</v>
      </c>
      <c r="J41" s="19" t="s">
        <v>301</v>
      </c>
    </row>
    <row r="42" spans="1:12" x14ac:dyDescent="0.2">
      <c r="A42" s="213">
        <v>42381</v>
      </c>
      <c r="B42" s="115" t="s">
        <v>127</v>
      </c>
      <c r="D42" s="121" t="s">
        <v>302</v>
      </c>
      <c r="E42" s="243">
        <v>350202</v>
      </c>
      <c r="F42" s="121"/>
      <c r="G42" s="122">
        <v>7.54</v>
      </c>
      <c r="H42" s="19">
        <v>1672808</v>
      </c>
      <c r="J42" s="125" t="s">
        <v>303</v>
      </c>
      <c r="K42" s="19"/>
      <c r="L42" s="19"/>
    </row>
    <row r="43" spans="1:12" x14ac:dyDescent="0.2">
      <c r="A43" s="213">
        <v>42380</v>
      </c>
      <c r="B43" s="115" t="s">
        <v>127</v>
      </c>
      <c r="D43" s="121" t="s">
        <v>286</v>
      </c>
      <c r="E43" s="243">
        <v>350330</v>
      </c>
      <c r="F43" s="121"/>
      <c r="G43" s="122">
        <v>92.02</v>
      </c>
      <c r="H43" s="19">
        <v>1664108</v>
      </c>
      <c r="J43" s="125" t="s">
        <v>304</v>
      </c>
      <c r="K43" s="19"/>
      <c r="L43" s="19"/>
    </row>
    <row r="44" spans="1:12" x14ac:dyDescent="0.2">
      <c r="A44" s="213">
        <v>42380</v>
      </c>
      <c r="B44" s="115" t="s">
        <v>127</v>
      </c>
      <c r="D44" s="121" t="s">
        <v>286</v>
      </c>
      <c r="E44" s="243">
        <v>350330</v>
      </c>
      <c r="F44" s="121"/>
      <c r="G44" s="122">
        <v>42.7</v>
      </c>
      <c r="H44" s="19">
        <v>1676372</v>
      </c>
      <c r="J44" s="125" t="s">
        <v>304</v>
      </c>
      <c r="K44" s="19"/>
      <c r="L44" s="19"/>
    </row>
    <row r="45" spans="1:12" x14ac:dyDescent="0.2">
      <c r="A45" s="213">
        <v>42384</v>
      </c>
      <c r="B45" s="115" t="s">
        <v>127</v>
      </c>
      <c r="D45" s="121" t="s">
        <v>181</v>
      </c>
      <c r="E45" s="243">
        <v>351215</v>
      </c>
      <c r="F45" s="121"/>
      <c r="G45" s="122">
        <f>98.03+137.17</f>
        <v>235.2</v>
      </c>
      <c r="H45" s="19">
        <v>1675285</v>
      </c>
      <c r="J45" s="125" t="s">
        <v>305</v>
      </c>
      <c r="K45" s="125"/>
      <c r="L45" s="19"/>
    </row>
    <row r="46" spans="1:12" x14ac:dyDescent="0.2">
      <c r="A46" s="213">
        <v>42381</v>
      </c>
      <c r="B46" s="115" t="s">
        <v>127</v>
      </c>
      <c r="D46" s="121" t="s">
        <v>181</v>
      </c>
      <c r="E46" s="243">
        <v>351215</v>
      </c>
      <c r="F46" s="121"/>
      <c r="G46" s="122">
        <f>29.68+76.52</f>
        <v>106.19999999999999</v>
      </c>
      <c r="H46" s="19">
        <v>1673686</v>
      </c>
      <c r="J46" s="125" t="s">
        <v>305</v>
      </c>
      <c r="K46" s="125"/>
      <c r="L46" s="19"/>
    </row>
    <row r="47" spans="1:12" x14ac:dyDescent="0.2">
      <c r="A47" s="213">
        <v>42380</v>
      </c>
      <c r="B47" s="115" t="s">
        <v>127</v>
      </c>
      <c r="D47" s="121" t="s">
        <v>181</v>
      </c>
      <c r="E47" s="243">
        <v>351215</v>
      </c>
      <c r="F47" s="121"/>
      <c r="G47" s="122">
        <f>31.02+66.98</f>
        <v>98</v>
      </c>
      <c r="H47" s="19">
        <v>1688236</v>
      </c>
      <c r="J47" s="125" t="s">
        <v>305</v>
      </c>
      <c r="K47" s="125"/>
      <c r="L47" s="19"/>
    </row>
    <row r="48" spans="1:12" x14ac:dyDescent="0.2">
      <c r="A48" s="213">
        <v>42380</v>
      </c>
      <c r="B48" s="115" t="s">
        <v>127</v>
      </c>
      <c r="D48" s="121" t="s">
        <v>181</v>
      </c>
      <c r="E48" s="243">
        <v>351215</v>
      </c>
      <c r="F48" s="121"/>
      <c r="G48" s="122">
        <f>39.09+93.21</f>
        <v>132.30000000000001</v>
      </c>
      <c r="H48" s="19">
        <v>1667193</v>
      </c>
      <c r="J48" s="125" t="s">
        <v>305</v>
      </c>
      <c r="K48" s="125"/>
      <c r="L48" s="19"/>
    </row>
    <row r="49" spans="1:34" x14ac:dyDescent="0.2">
      <c r="A49" s="213">
        <v>42384</v>
      </c>
      <c r="B49" s="115" t="s">
        <v>127</v>
      </c>
      <c r="D49" s="121" t="s">
        <v>288</v>
      </c>
      <c r="E49" s="243">
        <v>219838</v>
      </c>
      <c r="F49" s="121"/>
      <c r="G49" s="122">
        <v>29.7</v>
      </c>
      <c r="H49" s="19">
        <v>1676439</v>
      </c>
      <c r="J49" s="125" t="s">
        <v>306</v>
      </c>
      <c r="K49" s="19"/>
      <c r="L49" s="19"/>
    </row>
    <row r="50" spans="1:34" x14ac:dyDescent="0.2">
      <c r="A50" s="213">
        <v>42382</v>
      </c>
      <c r="B50" s="115" t="s">
        <v>127</v>
      </c>
      <c r="D50" s="121" t="s">
        <v>293</v>
      </c>
      <c r="E50" s="243">
        <v>350960</v>
      </c>
      <c r="F50" s="121"/>
      <c r="G50" s="122">
        <f>20.22+213.68</f>
        <v>233.9</v>
      </c>
      <c r="H50" s="19">
        <v>1676137</v>
      </c>
      <c r="J50" s="125" t="s">
        <v>305</v>
      </c>
      <c r="K50" s="19"/>
      <c r="L50" s="19"/>
    </row>
    <row r="51" spans="1:34" x14ac:dyDescent="0.2">
      <c r="A51" s="213">
        <v>42382</v>
      </c>
      <c r="B51" s="115" t="s">
        <v>127</v>
      </c>
      <c r="D51" s="121" t="s">
        <v>293</v>
      </c>
      <c r="E51" s="243">
        <v>350960</v>
      </c>
      <c r="F51" s="121"/>
      <c r="G51" s="122">
        <f>51.05+478.9</f>
        <v>529.94999999999993</v>
      </c>
      <c r="H51" s="19">
        <v>1673336</v>
      </c>
      <c r="J51" s="125" t="s">
        <v>305</v>
      </c>
      <c r="K51" s="19"/>
      <c r="L51" s="19"/>
    </row>
    <row r="52" spans="1:34" x14ac:dyDescent="0.2">
      <c r="A52" s="213">
        <v>42382</v>
      </c>
      <c r="B52" s="115" t="s">
        <v>127</v>
      </c>
      <c r="D52" s="121" t="s">
        <v>293</v>
      </c>
      <c r="E52" s="243">
        <v>350960</v>
      </c>
      <c r="F52" s="121"/>
      <c r="G52" s="122">
        <f>30.51+135.94</f>
        <v>166.45</v>
      </c>
      <c r="H52" s="19">
        <v>1666448</v>
      </c>
      <c r="J52" s="125" t="s">
        <v>305</v>
      </c>
      <c r="K52" s="19"/>
      <c r="L52" s="19"/>
    </row>
    <row r="53" spans="1:34" x14ac:dyDescent="0.2">
      <c r="A53" s="213">
        <v>42380</v>
      </c>
      <c r="B53" s="115" t="s">
        <v>127</v>
      </c>
      <c r="D53" s="121" t="s">
        <v>290</v>
      </c>
      <c r="E53" s="113">
        <v>350107</v>
      </c>
      <c r="F53" s="121"/>
      <c r="G53" s="122">
        <f>8.02+118.44</f>
        <v>126.46</v>
      </c>
      <c r="H53" s="19">
        <v>1669641</v>
      </c>
      <c r="J53" s="125" t="s">
        <v>305</v>
      </c>
      <c r="K53" s="19"/>
      <c r="L53" s="19"/>
    </row>
    <row r="54" spans="1:34" x14ac:dyDescent="0.2">
      <c r="A54" s="213">
        <v>42380</v>
      </c>
      <c r="B54" s="115" t="s">
        <v>127</v>
      </c>
      <c r="D54" s="121" t="s">
        <v>290</v>
      </c>
      <c r="E54" s="113">
        <v>350107</v>
      </c>
      <c r="F54" s="121"/>
      <c r="G54" s="122">
        <f>7.31+83.6</f>
        <v>90.91</v>
      </c>
      <c r="H54" s="19">
        <v>1675428</v>
      </c>
      <c r="J54" s="125" t="s">
        <v>305</v>
      </c>
      <c r="K54" s="19"/>
      <c r="L54" s="19"/>
    </row>
    <row r="55" spans="1:34" x14ac:dyDescent="0.2">
      <c r="A55" s="213">
        <v>42380</v>
      </c>
      <c r="B55" s="115" t="s">
        <v>127</v>
      </c>
      <c r="D55" s="121" t="s">
        <v>290</v>
      </c>
      <c r="E55" s="113">
        <v>350107</v>
      </c>
      <c r="F55" s="121"/>
      <c r="G55" s="122">
        <f>9.99+104.86</f>
        <v>114.85</v>
      </c>
      <c r="H55" s="19">
        <v>1677080</v>
      </c>
      <c r="J55" s="125" t="s">
        <v>305</v>
      </c>
      <c r="K55" s="19"/>
      <c r="L55" s="19"/>
    </row>
    <row r="56" spans="1:34" s="203" customFormat="1" x14ac:dyDescent="0.2">
      <c r="A56" s="215">
        <v>42381</v>
      </c>
      <c r="B56" s="216" t="s">
        <v>127</v>
      </c>
      <c r="C56" s="203" t="s">
        <v>151</v>
      </c>
      <c r="D56" s="217" t="s">
        <v>297</v>
      </c>
      <c r="E56" s="68">
        <v>351070</v>
      </c>
      <c r="F56" s="217"/>
      <c r="G56" s="218">
        <f>66.66+19.23</f>
        <v>85.89</v>
      </c>
      <c r="H56" s="203">
        <v>1667920</v>
      </c>
      <c r="J56" s="219" t="s">
        <v>295</v>
      </c>
      <c r="K56" s="219"/>
      <c r="L56" s="219"/>
    </row>
    <row r="57" spans="1:34" s="203" customFormat="1" x14ac:dyDescent="0.2">
      <c r="A57" s="215">
        <v>42381</v>
      </c>
      <c r="B57" s="216" t="s">
        <v>127</v>
      </c>
      <c r="C57" s="203" t="s">
        <v>151</v>
      </c>
      <c r="D57" s="217" t="s">
        <v>297</v>
      </c>
      <c r="E57" s="68">
        <v>351070</v>
      </c>
      <c r="F57" s="217"/>
      <c r="G57" s="218">
        <f>80.41+20.13</f>
        <v>100.53999999999999</v>
      </c>
      <c r="H57" s="203">
        <v>1660490</v>
      </c>
      <c r="J57" s="219" t="s">
        <v>295</v>
      </c>
      <c r="K57" s="219"/>
      <c r="L57" s="219"/>
    </row>
    <row r="58" spans="1:34" x14ac:dyDescent="0.2">
      <c r="A58" s="103" t="s">
        <v>1933</v>
      </c>
      <c r="B58" s="20" t="s">
        <v>0</v>
      </c>
      <c r="D58" s="126" t="s">
        <v>7</v>
      </c>
      <c r="E58" s="113">
        <v>214287</v>
      </c>
      <c r="F58" s="120" t="s">
        <v>11</v>
      </c>
      <c r="G58" s="122">
        <v>71.72</v>
      </c>
      <c r="J58" s="123" t="s">
        <v>12</v>
      </c>
    </row>
    <row r="59" spans="1:34" x14ac:dyDescent="0.2">
      <c r="A59" s="103" t="s">
        <v>1933</v>
      </c>
      <c r="B59" s="20" t="s">
        <v>0</v>
      </c>
      <c r="D59" s="127">
        <v>376232610992</v>
      </c>
      <c r="E59" s="113">
        <v>226285</v>
      </c>
      <c r="F59" s="120" t="s">
        <v>13</v>
      </c>
      <c r="G59" s="122">
        <v>78.44</v>
      </c>
      <c r="J59" s="123" t="s">
        <v>10</v>
      </c>
    </row>
    <row r="60" spans="1:34" x14ac:dyDescent="0.2">
      <c r="A60" s="103" t="s">
        <v>1933</v>
      </c>
      <c r="B60" s="20" t="s">
        <v>0</v>
      </c>
      <c r="D60" s="128" t="s">
        <v>14</v>
      </c>
      <c r="E60" s="113">
        <v>224529</v>
      </c>
      <c r="F60" s="120" t="s">
        <v>15</v>
      </c>
      <c r="G60" s="122">
        <v>71.760000000000005</v>
      </c>
      <c r="J60" s="123" t="s">
        <v>16</v>
      </c>
    </row>
    <row r="61" spans="1:34" x14ac:dyDescent="0.2">
      <c r="A61" s="213">
        <v>42390</v>
      </c>
      <c r="B61" s="20" t="s">
        <v>127</v>
      </c>
      <c r="D61" s="120" t="s">
        <v>307</v>
      </c>
      <c r="E61" s="113">
        <v>212974</v>
      </c>
      <c r="F61" s="121"/>
      <c r="G61" s="122">
        <v>59.95</v>
      </c>
      <c r="H61" s="117">
        <v>1679549</v>
      </c>
      <c r="J61" s="124" t="s">
        <v>308</v>
      </c>
      <c r="K61" s="124"/>
      <c r="L61" s="12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x14ac:dyDescent="0.2">
      <c r="A62" s="213">
        <v>42388</v>
      </c>
      <c r="B62" s="20" t="s">
        <v>127</v>
      </c>
      <c r="D62" s="120" t="s">
        <v>193</v>
      </c>
      <c r="E62" s="113">
        <v>2265743</v>
      </c>
      <c r="F62" s="121"/>
      <c r="G62" s="122">
        <v>76.05</v>
      </c>
      <c r="H62" s="117">
        <v>1687844</v>
      </c>
      <c r="J62" s="124" t="s">
        <v>301</v>
      </c>
      <c r="K62" s="124"/>
      <c r="L62" s="124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x14ac:dyDescent="0.2">
      <c r="A63" s="213">
        <v>42390</v>
      </c>
      <c r="B63" s="20" t="s">
        <v>127</v>
      </c>
      <c r="D63" s="120" t="s">
        <v>309</v>
      </c>
      <c r="E63" s="113">
        <v>226792</v>
      </c>
      <c r="F63" s="121"/>
      <c r="G63" s="122">
        <v>4.3099999999999996</v>
      </c>
      <c r="H63" s="117">
        <v>1692631</v>
      </c>
      <c r="J63" s="124" t="s">
        <v>310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x14ac:dyDescent="0.2">
      <c r="A64" s="213">
        <v>42390</v>
      </c>
      <c r="B64" s="20" t="s">
        <v>127</v>
      </c>
      <c r="D64" s="120" t="s">
        <v>309</v>
      </c>
      <c r="E64" s="113">
        <v>226792</v>
      </c>
      <c r="F64" s="121"/>
      <c r="G64" s="122">
        <v>71.739999999999995</v>
      </c>
      <c r="H64" s="117">
        <v>1692631</v>
      </c>
      <c r="J64" s="124" t="s">
        <v>311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x14ac:dyDescent="0.2">
      <c r="A65" s="213">
        <v>42390</v>
      </c>
      <c r="B65" s="20" t="s">
        <v>127</v>
      </c>
      <c r="D65" s="120" t="s">
        <v>312</v>
      </c>
      <c r="E65" s="113">
        <v>215859</v>
      </c>
      <c r="F65" s="121"/>
      <c r="G65" s="122">
        <v>54.95</v>
      </c>
      <c r="H65" s="117">
        <v>1692640</v>
      </c>
      <c r="J65" s="124" t="s">
        <v>313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x14ac:dyDescent="0.2">
      <c r="A66" s="213">
        <v>42388</v>
      </c>
      <c r="B66" s="20" t="s">
        <v>127</v>
      </c>
      <c r="D66" s="120" t="s">
        <v>302</v>
      </c>
      <c r="E66" s="113">
        <v>350202</v>
      </c>
      <c r="F66" s="121"/>
      <c r="G66" s="122">
        <v>3.85</v>
      </c>
      <c r="H66" s="117">
        <v>1688563</v>
      </c>
      <c r="J66" s="124" t="s">
        <v>314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x14ac:dyDescent="0.2">
      <c r="A67" s="213">
        <v>42389</v>
      </c>
      <c r="B67" s="20" t="s">
        <v>127</v>
      </c>
      <c r="D67" s="120" t="s">
        <v>286</v>
      </c>
      <c r="E67" s="113">
        <v>350330</v>
      </c>
      <c r="F67" s="121"/>
      <c r="G67" s="122">
        <f>9.86+29.63</f>
        <v>39.489999999999995</v>
      </c>
      <c r="H67" s="117">
        <v>1691318</v>
      </c>
      <c r="J67" s="124" t="s">
        <v>315</v>
      </c>
      <c r="K67" s="124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x14ac:dyDescent="0.2">
      <c r="A68" s="213">
        <v>42389</v>
      </c>
      <c r="B68" s="20" t="s">
        <v>127</v>
      </c>
      <c r="D68" s="120" t="s">
        <v>286</v>
      </c>
      <c r="E68" s="113">
        <v>350330</v>
      </c>
      <c r="F68" s="121"/>
      <c r="G68" s="122">
        <f>41.8+88.15</f>
        <v>129.94999999999999</v>
      </c>
      <c r="H68" s="117">
        <v>1682086</v>
      </c>
      <c r="J68" s="124" t="s">
        <v>315</v>
      </c>
      <c r="K68" s="124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x14ac:dyDescent="0.2">
      <c r="A69" s="213">
        <v>42391</v>
      </c>
      <c r="B69" s="20" t="s">
        <v>127</v>
      </c>
      <c r="D69" s="120" t="s">
        <v>181</v>
      </c>
      <c r="E69" s="113">
        <v>351215</v>
      </c>
      <c r="F69" s="121"/>
      <c r="G69" s="122">
        <f>32.69+74.41</f>
        <v>107.1</v>
      </c>
      <c r="H69" s="117">
        <v>1694545</v>
      </c>
      <c r="J69" s="124" t="s">
        <v>305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x14ac:dyDescent="0.2">
      <c r="A70" s="213">
        <v>42391</v>
      </c>
      <c r="B70" s="20" t="s">
        <v>127</v>
      </c>
      <c r="D70" s="120" t="s">
        <v>181</v>
      </c>
      <c r="E70" s="113">
        <v>351215</v>
      </c>
      <c r="F70" s="121"/>
      <c r="G70" s="122">
        <f>36.81+68.15</f>
        <v>104.96000000000001</v>
      </c>
      <c r="H70" s="117">
        <v>1696558</v>
      </c>
      <c r="J70" s="124" t="s">
        <v>305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x14ac:dyDescent="0.2">
      <c r="A71" s="213">
        <v>42391</v>
      </c>
      <c r="B71" s="20" t="s">
        <v>127</v>
      </c>
      <c r="D71" s="120" t="s">
        <v>181</v>
      </c>
      <c r="E71" s="113">
        <v>351215</v>
      </c>
      <c r="F71" s="121"/>
      <c r="G71" s="122">
        <f>17.75+60.25</f>
        <v>78</v>
      </c>
      <c r="H71" s="117">
        <v>1696149</v>
      </c>
      <c r="J71" s="124" t="s">
        <v>305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x14ac:dyDescent="0.2">
      <c r="A72" s="213">
        <v>42391</v>
      </c>
      <c r="B72" s="20" t="s">
        <v>127</v>
      </c>
      <c r="D72" s="120" t="s">
        <v>181</v>
      </c>
      <c r="E72" s="113">
        <v>351215</v>
      </c>
      <c r="F72" s="121"/>
      <c r="G72" s="122">
        <f>26.63+47.37</f>
        <v>74</v>
      </c>
      <c r="H72" s="117">
        <v>1689862</v>
      </c>
      <c r="J72" s="124" t="s">
        <v>305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x14ac:dyDescent="0.2">
      <c r="A73" s="213">
        <v>42391</v>
      </c>
      <c r="B73" s="20" t="s">
        <v>127</v>
      </c>
      <c r="D73" s="120" t="s">
        <v>181</v>
      </c>
      <c r="E73" s="113">
        <v>351215</v>
      </c>
      <c r="F73" s="121"/>
      <c r="G73" s="122">
        <f>26.63+47.37</f>
        <v>74</v>
      </c>
      <c r="H73" s="117">
        <v>1690107</v>
      </c>
      <c r="J73" s="124" t="s">
        <v>305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x14ac:dyDescent="0.2">
      <c r="A74" s="213">
        <v>42391</v>
      </c>
      <c r="B74" s="20" t="s">
        <v>127</v>
      </c>
      <c r="D74" s="120" t="s">
        <v>181</v>
      </c>
      <c r="E74" s="113">
        <v>351215</v>
      </c>
      <c r="F74" s="121"/>
      <c r="G74" s="122">
        <f>25.2+28.33</f>
        <v>53.53</v>
      </c>
      <c r="H74" s="117">
        <v>1691843</v>
      </c>
      <c r="J74" s="124" t="s">
        <v>305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x14ac:dyDescent="0.2">
      <c r="A75" s="213">
        <v>42391</v>
      </c>
      <c r="B75" s="20" t="s">
        <v>127</v>
      </c>
      <c r="D75" s="120" t="s">
        <v>181</v>
      </c>
      <c r="E75" s="113">
        <v>351215</v>
      </c>
      <c r="F75" s="121"/>
      <c r="G75" s="122">
        <f>17.75+70.25</f>
        <v>88</v>
      </c>
      <c r="H75" s="117">
        <v>1686647</v>
      </c>
      <c r="J75" s="124" t="s">
        <v>305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x14ac:dyDescent="0.2">
      <c r="A76" s="213">
        <v>42391</v>
      </c>
      <c r="B76" s="20" t="s">
        <v>127</v>
      </c>
      <c r="D76" s="120" t="s">
        <v>181</v>
      </c>
      <c r="E76" s="113">
        <v>351215</v>
      </c>
      <c r="F76" s="121"/>
      <c r="G76" s="122">
        <f>63.38+132.82</f>
        <v>196.2</v>
      </c>
      <c r="H76" s="117">
        <v>1683159</v>
      </c>
      <c r="J76" s="124" t="s">
        <v>305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x14ac:dyDescent="0.2">
      <c r="A77" s="213">
        <v>42391</v>
      </c>
      <c r="B77" s="20" t="s">
        <v>127</v>
      </c>
      <c r="D77" s="120" t="s">
        <v>181</v>
      </c>
      <c r="E77" s="113">
        <v>351215</v>
      </c>
      <c r="F77" s="121"/>
      <c r="G77" s="122">
        <f>30.47+71.53</f>
        <v>102</v>
      </c>
      <c r="H77" s="117">
        <v>1684046</v>
      </c>
      <c r="J77" s="124" t="s">
        <v>305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x14ac:dyDescent="0.2">
      <c r="A78" s="213">
        <v>42389</v>
      </c>
      <c r="B78" s="20" t="s">
        <v>127</v>
      </c>
      <c r="D78" s="120" t="s">
        <v>316</v>
      </c>
      <c r="E78" s="113">
        <v>351306</v>
      </c>
      <c r="F78" s="121"/>
      <c r="G78" s="122">
        <v>269.10000000000002</v>
      </c>
      <c r="H78" s="117">
        <v>1690235</v>
      </c>
      <c r="J78" s="124" t="s">
        <v>305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x14ac:dyDescent="0.2">
      <c r="A79" s="213">
        <v>42390</v>
      </c>
      <c r="B79" s="20" t="s">
        <v>127</v>
      </c>
      <c r="D79" s="120" t="s">
        <v>317</v>
      </c>
      <c r="E79" s="113">
        <v>772</v>
      </c>
      <c r="F79" s="121"/>
      <c r="G79" s="122">
        <v>46.95</v>
      </c>
      <c r="H79" s="117">
        <v>1692725</v>
      </c>
      <c r="J79" s="124" t="s">
        <v>318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s="203" customFormat="1" x14ac:dyDescent="0.2">
      <c r="A80" s="215">
        <v>42388</v>
      </c>
      <c r="B80" s="216" t="s">
        <v>127</v>
      </c>
      <c r="C80" s="203" t="s">
        <v>151</v>
      </c>
      <c r="D80" s="217" t="s">
        <v>297</v>
      </c>
      <c r="E80" s="68">
        <v>351070</v>
      </c>
      <c r="F80" s="217"/>
      <c r="G80" s="218">
        <f>47+169.61</f>
        <v>216.61</v>
      </c>
      <c r="H80" s="203">
        <v>1687558</v>
      </c>
      <c r="J80" s="220" t="s">
        <v>295</v>
      </c>
    </row>
    <row r="81" spans="1:34" s="203" customFormat="1" x14ac:dyDescent="0.2">
      <c r="A81" s="215">
        <v>42388</v>
      </c>
      <c r="B81" s="216" t="s">
        <v>127</v>
      </c>
      <c r="C81" s="203" t="s">
        <v>151</v>
      </c>
      <c r="D81" s="217" t="s">
        <v>297</v>
      </c>
      <c r="E81" s="68">
        <v>351070</v>
      </c>
      <c r="F81" s="217"/>
      <c r="G81" s="218">
        <f>24.08+28.47</f>
        <v>52.55</v>
      </c>
      <c r="H81" s="203">
        <v>1682619</v>
      </c>
      <c r="J81" s="220" t="s">
        <v>295</v>
      </c>
    </row>
    <row r="82" spans="1:34" s="203" customFormat="1" x14ac:dyDescent="0.2">
      <c r="A82" s="215">
        <v>42390</v>
      </c>
      <c r="B82" s="216" t="s">
        <v>127</v>
      </c>
      <c r="C82" s="203" t="s">
        <v>151</v>
      </c>
      <c r="D82" s="217" t="s">
        <v>319</v>
      </c>
      <c r="E82" s="68">
        <v>351305</v>
      </c>
      <c r="F82" s="217"/>
      <c r="G82" s="218">
        <f>33.76+74.15</f>
        <v>107.91</v>
      </c>
      <c r="H82" s="203">
        <v>1694105</v>
      </c>
      <c r="J82" s="220" t="s">
        <v>295</v>
      </c>
    </row>
    <row r="83" spans="1:34" s="203" customFormat="1" x14ac:dyDescent="0.2">
      <c r="A83" s="215">
        <v>42390</v>
      </c>
      <c r="B83" s="216" t="s">
        <v>127</v>
      </c>
      <c r="C83" s="203" t="s">
        <v>151</v>
      </c>
      <c r="D83" s="217" t="s">
        <v>319</v>
      </c>
      <c r="E83" s="68">
        <v>351305</v>
      </c>
      <c r="F83" s="217"/>
      <c r="G83" s="218">
        <f>30.4+82.05</f>
        <v>112.44999999999999</v>
      </c>
      <c r="H83" s="203">
        <v>1689906</v>
      </c>
      <c r="J83" s="220" t="s">
        <v>295</v>
      </c>
    </row>
    <row r="84" spans="1:34" s="203" customFormat="1" x14ac:dyDescent="0.2">
      <c r="A84" s="215">
        <v>42390</v>
      </c>
      <c r="B84" s="216" t="s">
        <v>127</v>
      </c>
      <c r="C84" s="203" t="s">
        <v>151</v>
      </c>
      <c r="D84" s="217" t="s">
        <v>319</v>
      </c>
      <c r="E84" s="68">
        <v>351305</v>
      </c>
      <c r="F84" s="217"/>
      <c r="G84" s="218">
        <f>15+39.5</f>
        <v>54.5</v>
      </c>
      <c r="H84" s="203">
        <v>1669460</v>
      </c>
      <c r="J84" s="220" t="s">
        <v>295</v>
      </c>
    </row>
    <row r="85" spans="1:34" x14ac:dyDescent="0.2">
      <c r="A85" s="103" t="s">
        <v>250</v>
      </c>
      <c r="B85" s="20" t="s">
        <v>0</v>
      </c>
      <c r="D85" s="120" t="s">
        <v>17</v>
      </c>
      <c r="E85" s="113">
        <v>350314</v>
      </c>
      <c r="F85" s="120" t="s">
        <v>18</v>
      </c>
      <c r="G85" s="122">
        <v>96.18</v>
      </c>
      <c r="J85" s="123" t="s">
        <v>12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x14ac:dyDescent="0.2">
      <c r="A86" s="103" t="s">
        <v>250</v>
      </c>
      <c r="B86" s="20" t="s">
        <v>0</v>
      </c>
      <c r="D86" s="120" t="s">
        <v>17</v>
      </c>
      <c r="E86" s="113">
        <v>350314</v>
      </c>
      <c r="F86" s="120" t="s">
        <v>19</v>
      </c>
      <c r="G86" s="122">
        <v>26.95</v>
      </c>
      <c r="J86" s="123" t="s">
        <v>12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x14ac:dyDescent="0.2">
      <c r="A87" s="103" t="s">
        <v>250</v>
      </c>
      <c r="B87" s="20" t="s">
        <v>0</v>
      </c>
      <c r="D87" s="120" t="s">
        <v>17</v>
      </c>
      <c r="E87" s="113">
        <v>350314</v>
      </c>
      <c r="F87" s="120" t="s">
        <v>20</v>
      </c>
      <c r="G87" s="122">
        <v>58.95</v>
      </c>
      <c r="J87" s="123" t="s">
        <v>12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x14ac:dyDescent="0.2">
      <c r="A88" s="103" t="s">
        <v>250</v>
      </c>
      <c r="B88" s="20" t="s">
        <v>0</v>
      </c>
      <c r="D88" s="120" t="s">
        <v>17</v>
      </c>
      <c r="E88" s="113">
        <v>350314</v>
      </c>
      <c r="F88" s="120" t="s">
        <v>21</v>
      </c>
      <c r="G88" s="122">
        <v>49.9</v>
      </c>
      <c r="J88" s="123" t="s">
        <v>12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x14ac:dyDescent="0.2">
      <c r="A89" s="103" t="s">
        <v>250</v>
      </c>
      <c r="B89" s="20" t="s">
        <v>0</v>
      </c>
      <c r="D89" s="120" t="s">
        <v>17</v>
      </c>
      <c r="E89" s="113">
        <v>350314</v>
      </c>
      <c r="F89" s="120" t="s">
        <v>22</v>
      </c>
      <c r="G89" s="122">
        <v>48.9</v>
      </c>
      <c r="J89" s="123" t="s">
        <v>12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x14ac:dyDescent="0.2">
      <c r="A90" s="103" t="s">
        <v>250</v>
      </c>
      <c r="B90" s="20" t="s">
        <v>0</v>
      </c>
      <c r="D90" s="120" t="s">
        <v>23</v>
      </c>
      <c r="E90" s="113">
        <v>350331</v>
      </c>
      <c r="F90" s="120" t="s">
        <v>24</v>
      </c>
      <c r="G90" s="122">
        <v>466.83</v>
      </c>
      <c r="J90" s="123" t="s">
        <v>12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x14ac:dyDescent="0.2">
      <c r="A91" s="103" t="s">
        <v>250</v>
      </c>
      <c r="B91" s="20" t="s">
        <v>0</v>
      </c>
      <c r="D91" s="120" t="s">
        <v>23</v>
      </c>
      <c r="E91" s="113">
        <v>350331</v>
      </c>
      <c r="F91" s="120" t="s">
        <v>25</v>
      </c>
      <c r="G91" s="122">
        <v>72.989999999999995</v>
      </c>
      <c r="J91" s="123" t="s">
        <v>12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x14ac:dyDescent="0.2">
      <c r="A92" s="103" t="s">
        <v>250</v>
      </c>
      <c r="B92" s="20" t="s">
        <v>0</v>
      </c>
      <c r="D92" s="120" t="s">
        <v>23</v>
      </c>
      <c r="E92" s="113">
        <v>350331</v>
      </c>
      <c r="F92" s="120" t="s">
        <v>26</v>
      </c>
      <c r="G92" s="122">
        <v>47.58</v>
      </c>
      <c r="J92" s="123" t="s">
        <v>12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x14ac:dyDescent="0.2">
      <c r="A93" s="213">
        <v>42395</v>
      </c>
      <c r="B93" s="115" t="s">
        <v>127</v>
      </c>
      <c r="D93" s="121" t="s">
        <v>193</v>
      </c>
      <c r="E93" s="113">
        <v>226743</v>
      </c>
      <c r="F93" s="121"/>
      <c r="G93" s="122">
        <v>13.5</v>
      </c>
      <c r="H93" s="117">
        <v>1702315</v>
      </c>
      <c r="J93" s="129" t="s">
        <v>320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x14ac:dyDescent="0.2">
      <c r="A94" s="213">
        <v>42398</v>
      </c>
      <c r="B94" s="115" t="s">
        <v>127</v>
      </c>
      <c r="D94" s="121" t="s">
        <v>309</v>
      </c>
      <c r="E94" s="113">
        <v>226792</v>
      </c>
      <c r="F94" s="121"/>
      <c r="G94" s="122">
        <v>7</v>
      </c>
      <c r="H94" s="117">
        <v>1689238</v>
      </c>
      <c r="J94" s="129" t="s">
        <v>321</v>
      </c>
      <c r="K94" s="19"/>
      <c r="L94" s="19"/>
    </row>
    <row r="95" spans="1:34" x14ac:dyDescent="0.2">
      <c r="A95" s="213">
        <v>42398</v>
      </c>
      <c r="B95" s="115" t="s">
        <v>127</v>
      </c>
      <c r="D95" s="121" t="s">
        <v>309</v>
      </c>
      <c r="E95" s="113">
        <v>226792</v>
      </c>
      <c r="F95" s="121"/>
      <c r="G95" s="122">
        <v>138.55000000000001</v>
      </c>
      <c r="H95" s="117">
        <v>1684564</v>
      </c>
      <c r="J95" s="129" t="s">
        <v>321</v>
      </c>
      <c r="K95" s="19"/>
      <c r="L95" s="19"/>
    </row>
    <row r="96" spans="1:34" x14ac:dyDescent="0.2">
      <c r="A96" s="213">
        <v>42397</v>
      </c>
      <c r="B96" s="115" t="s">
        <v>127</v>
      </c>
      <c r="D96" s="121" t="s">
        <v>302</v>
      </c>
      <c r="E96" s="113">
        <v>350202</v>
      </c>
      <c r="F96" s="121"/>
      <c r="G96" s="122">
        <f>19.14+102.1</f>
        <v>121.24</v>
      </c>
      <c r="H96" s="117">
        <v>1699812</v>
      </c>
      <c r="J96" s="129" t="s">
        <v>322</v>
      </c>
      <c r="K96" s="19"/>
      <c r="L96" s="19"/>
    </row>
    <row r="97" spans="1:12" x14ac:dyDescent="0.2">
      <c r="A97" s="213">
        <v>42397</v>
      </c>
      <c r="B97" s="115" t="s">
        <v>127</v>
      </c>
      <c r="D97" s="121" t="s">
        <v>302</v>
      </c>
      <c r="E97" s="113">
        <v>350202</v>
      </c>
      <c r="F97" s="121"/>
      <c r="G97" s="122">
        <f>5.39+42.71</f>
        <v>48.1</v>
      </c>
      <c r="H97" s="117">
        <v>1702144</v>
      </c>
      <c r="J97" s="129" t="s">
        <v>322</v>
      </c>
      <c r="K97" s="19"/>
      <c r="L97" s="19"/>
    </row>
    <row r="98" spans="1:12" x14ac:dyDescent="0.2">
      <c r="A98" s="213">
        <v>42397</v>
      </c>
      <c r="B98" s="115" t="s">
        <v>127</v>
      </c>
      <c r="D98" s="121" t="s">
        <v>302</v>
      </c>
      <c r="E98" s="113">
        <v>350202</v>
      </c>
      <c r="F98" s="121"/>
      <c r="G98" s="122">
        <f>16.6+23.85</f>
        <v>40.450000000000003</v>
      </c>
      <c r="H98" s="117">
        <v>1702144</v>
      </c>
      <c r="J98" s="129" t="s">
        <v>322</v>
      </c>
      <c r="K98" s="19"/>
      <c r="L98" s="19"/>
    </row>
    <row r="99" spans="1:12" x14ac:dyDescent="0.2">
      <c r="A99" s="213">
        <v>42396</v>
      </c>
      <c r="B99" s="115" t="s">
        <v>127</v>
      </c>
      <c r="D99" s="121" t="s">
        <v>286</v>
      </c>
      <c r="E99" s="113">
        <v>350330</v>
      </c>
      <c r="F99" s="121"/>
      <c r="G99" s="122">
        <f>11.6+49.34</f>
        <v>60.940000000000005</v>
      </c>
      <c r="H99" s="117">
        <v>1694113</v>
      </c>
      <c r="J99" s="129" t="s">
        <v>323</v>
      </c>
      <c r="K99" s="19"/>
      <c r="L99" s="19"/>
    </row>
    <row r="100" spans="1:12" x14ac:dyDescent="0.2">
      <c r="A100" s="213">
        <v>42396</v>
      </c>
      <c r="B100" s="115" t="s">
        <v>127</v>
      </c>
      <c r="D100" s="121" t="s">
        <v>286</v>
      </c>
      <c r="E100" s="113">
        <v>350330</v>
      </c>
      <c r="F100" s="121"/>
      <c r="G100" s="122">
        <f>18.88+40.99</f>
        <v>59.870000000000005</v>
      </c>
      <c r="H100" s="117">
        <v>1704953</v>
      </c>
      <c r="J100" s="129" t="s">
        <v>323</v>
      </c>
      <c r="K100" s="19"/>
      <c r="L100" s="19"/>
    </row>
    <row r="101" spans="1:12" x14ac:dyDescent="0.2">
      <c r="A101" s="213">
        <v>42396</v>
      </c>
      <c r="B101" s="115" t="s">
        <v>127</v>
      </c>
      <c r="D101" s="121" t="s">
        <v>286</v>
      </c>
      <c r="E101" s="113">
        <v>350330</v>
      </c>
      <c r="F101" s="121"/>
      <c r="G101" s="122">
        <f>42.85+38.85</f>
        <v>81.7</v>
      </c>
      <c r="H101" s="117">
        <v>1699672</v>
      </c>
      <c r="J101" s="129" t="s">
        <v>323</v>
      </c>
      <c r="K101" s="19"/>
      <c r="L101" s="19"/>
    </row>
    <row r="102" spans="1:12" x14ac:dyDescent="0.2">
      <c r="A102" s="213">
        <v>42398</v>
      </c>
      <c r="B102" s="115" t="s">
        <v>127</v>
      </c>
      <c r="D102" s="121" t="s">
        <v>181</v>
      </c>
      <c r="E102" s="113">
        <v>351215</v>
      </c>
      <c r="F102" s="121"/>
      <c r="G102" s="122">
        <f>38.55+134.45</f>
        <v>173</v>
      </c>
      <c r="H102" s="117">
        <v>1709156</v>
      </c>
      <c r="J102" s="124" t="s">
        <v>305</v>
      </c>
      <c r="K102" s="19"/>
    </row>
    <row r="103" spans="1:12" x14ac:dyDescent="0.2">
      <c r="A103" s="213">
        <v>42398</v>
      </c>
      <c r="B103" s="115" t="s">
        <v>127</v>
      </c>
      <c r="D103" s="121" t="s">
        <v>181</v>
      </c>
      <c r="E103" s="113">
        <v>351215</v>
      </c>
      <c r="F103" s="121"/>
      <c r="G103" s="122">
        <f>33.19+58.61</f>
        <v>91.8</v>
      </c>
      <c r="H103" s="117">
        <v>1709335</v>
      </c>
      <c r="J103" s="124" t="s">
        <v>305</v>
      </c>
      <c r="K103" s="19"/>
    </row>
    <row r="104" spans="1:12" x14ac:dyDescent="0.2">
      <c r="A104" s="213">
        <v>42398</v>
      </c>
      <c r="B104" s="115" t="s">
        <v>127</v>
      </c>
      <c r="D104" s="121" t="s">
        <v>181</v>
      </c>
      <c r="E104" s="113">
        <v>351215</v>
      </c>
      <c r="F104" s="121"/>
      <c r="G104" s="122">
        <f>80.56+184.94</f>
        <v>265.5</v>
      </c>
      <c r="H104" s="117">
        <v>17077264</v>
      </c>
      <c r="J104" s="124" t="s">
        <v>305</v>
      </c>
      <c r="K104" s="19"/>
    </row>
    <row r="105" spans="1:12" x14ac:dyDescent="0.2">
      <c r="A105" s="213">
        <v>42398</v>
      </c>
      <c r="B105" s="115" t="s">
        <v>127</v>
      </c>
      <c r="D105" s="121" t="s">
        <v>181</v>
      </c>
      <c r="E105" s="113">
        <v>351215</v>
      </c>
      <c r="F105" s="121"/>
      <c r="G105" s="122">
        <f>17.89+119.81</f>
        <v>137.69999999999999</v>
      </c>
      <c r="H105" s="117">
        <v>1707187</v>
      </c>
      <c r="J105" s="124" t="s">
        <v>305</v>
      </c>
      <c r="K105" s="19"/>
    </row>
    <row r="106" spans="1:12" x14ac:dyDescent="0.2">
      <c r="A106" s="213">
        <v>42398</v>
      </c>
      <c r="B106" s="115" t="s">
        <v>127</v>
      </c>
      <c r="D106" s="121" t="s">
        <v>181</v>
      </c>
      <c r="E106" s="113">
        <v>351215</v>
      </c>
      <c r="F106" s="121"/>
      <c r="G106" s="122">
        <f>25.67+52.33</f>
        <v>78</v>
      </c>
      <c r="H106" s="117">
        <v>1705927</v>
      </c>
      <c r="J106" s="124" t="s">
        <v>305</v>
      </c>
      <c r="K106" s="19"/>
    </row>
    <row r="107" spans="1:12" x14ac:dyDescent="0.2">
      <c r="A107" s="213">
        <v>42398</v>
      </c>
      <c r="B107" s="115" t="s">
        <v>127</v>
      </c>
      <c r="D107" s="121" t="s">
        <v>181</v>
      </c>
      <c r="E107" s="113">
        <v>351215</v>
      </c>
      <c r="F107" s="121"/>
      <c r="G107" s="122">
        <f>22.86+55.25</f>
        <v>78.11</v>
      </c>
      <c r="H107" s="117">
        <v>1704481</v>
      </c>
      <c r="J107" s="124" t="s">
        <v>305</v>
      </c>
      <c r="K107" s="19"/>
    </row>
    <row r="108" spans="1:12" x14ac:dyDescent="0.2">
      <c r="A108" s="213">
        <v>42398</v>
      </c>
      <c r="B108" s="115" t="s">
        <v>127</v>
      </c>
      <c r="D108" s="121" t="s">
        <v>181</v>
      </c>
      <c r="E108" s="113">
        <v>351215</v>
      </c>
      <c r="F108" s="121"/>
      <c r="G108" s="122">
        <f>14+130</f>
        <v>144</v>
      </c>
      <c r="H108" s="117">
        <v>1699312</v>
      </c>
      <c r="J108" s="124" t="s">
        <v>305</v>
      </c>
      <c r="K108" s="19"/>
    </row>
    <row r="109" spans="1:12" x14ac:dyDescent="0.2">
      <c r="A109" s="213">
        <v>42398</v>
      </c>
      <c r="B109" s="115" t="s">
        <v>127</v>
      </c>
      <c r="D109" s="121" t="s">
        <v>181</v>
      </c>
      <c r="E109" s="113">
        <v>351215</v>
      </c>
      <c r="F109" s="121"/>
      <c r="G109" s="122">
        <f>22.64+45.36</f>
        <v>68</v>
      </c>
      <c r="H109" s="117">
        <v>1667882</v>
      </c>
      <c r="J109" s="124" t="s">
        <v>305</v>
      </c>
      <c r="K109" s="19"/>
    </row>
    <row r="110" spans="1:12" x14ac:dyDescent="0.2">
      <c r="A110" s="213">
        <v>42398</v>
      </c>
      <c r="B110" s="115" t="s">
        <v>127</v>
      </c>
      <c r="D110" s="121" t="s">
        <v>181</v>
      </c>
      <c r="E110" s="113">
        <v>351215</v>
      </c>
      <c r="F110" s="121"/>
      <c r="G110" s="122">
        <f>16.1+36.9</f>
        <v>53</v>
      </c>
      <c r="H110" s="117">
        <v>1696792</v>
      </c>
      <c r="J110" s="124" t="s">
        <v>305</v>
      </c>
      <c r="K110" s="19"/>
    </row>
    <row r="111" spans="1:12" x14ac:dyDescent="0.2">
      <c r="A111" s="213">
        <v>42394</v>
      </c>
      <c r="B111" s="115" t="s">
        <v>127</v>
      </c>
      <c r="D111" s="121" t="s">
        <v>272</v>
      </c>
      <c r="E111" s="113">
        <v>351187</v>
      </c>
      <c r="F111" s="121"/>
      <c r="G111" s="122">
        <v>149.6</v>
      </c>
      <c r="H111" s="117">
        <v>1701138</v>
      </c>
      <c r="J111" s="124" t="s">
        <v>305</v>
      </c>
      <c r="K111" s="19"/>
    </row>
    <row r="112" spans="1:12" x14ac:dyDescent="0.2">
      <c r="A112" s="213">
        <v>42395</v>
      </c>
      <c r="B112" s="115" t="s">
        <v>127</v>
      </c>
      <c r="D112" s="121" t="s">
        <v>293</v>
      </c>
      <c r="E112" s="113">
        <v>350960</v>
      </c>
      <c r="F112" s="121"/>
      <c r="G112" s="122">
        <f>195.19+38.76</f>
        <v>233.95</v>
      </c>
      <c r="H112" s="117">
        <v>1704003</v>
      </c>
      <c r="J112" s="124" t="s">
        <v>305</v>
      </c>
      <c r="K112" s="19"/>
    </row>
    <row r="113" spans="1:13" x14ac:dyDescent="0.2">
      <c r="A113" s="213">
        <v>42395</v>
      </c>
      <c r="B113" s="115" t="s">
        <v>127</v>
      </c>
      <c r="D113" s="121" t="s">
        <v>293</v>
      </c>
      <c r="E113" s="113">
        <v>350960</v>
      </c>
      <c r="F113" s="121"/>
      <c r="G113" s="122">
        <f>133.79+13.31</f>
        <v>147.1</v>
      </c>
      <c r="H113" s="117">
        <v>1709035</v>
      </c>
      <c r="J113" s="124" t="s">
        <v>305</v>
      </c>
      <c r="K113" s="19"/>
    </row>
    <row r="114" spans="1:13" x14ac:dyDescent="0.2">
      <c r="A114" s="213">
        <v>42398</v>
      </c>
      <c r="B114" s="115" t="s">
        <v>127</v>
      </c>
      <c r="D114" s="121" t="s">
        <v>290</v>
      </c>
      <c r="E114" s="113">
        <v>350107</v>
      </c>
      <c r="F114" s="121"/>
      <c r="G114" s="122">
        <v>109</v>
      </c>
      <c r="H114" s="117">
        <v>1700065</v>
      </c>
      <c r="J114" s="124" t="s">
        <v>305</v>
      </c>
      <c r="K114" s="19"/>
    </row>
    <row r="115" spans="1:13" x14ac:dyDescent="0.2">
      <c r="A115" s="213">
        <v>42400</v>
      </c>
      <c r="B115" s="115" t="s">
        <v>127</v>
      </c>
      <c r="C115" s="130"/>
      <c r="D115" s="60">
        <v>376270713997</v>
      </c>
      <c r="E115" s="113">
        <v>351215</v>
      </c>
      <c r="F115" s="121"/>
      <c r="G115" s="122">
        <v>83</v>
      </c>
      <c r="H115" s="131" t="s">
        <v>324</v>
      </c>
      <c r="J115" s="124" t="s">
        <v>305</v>
      </c>
    </row>
    <row r="116" spans="1:13" x14ac:dyDescent="0.2">
      <c r="A116" s="213">
        <v>42400</v>
      </c>
      <c r="B116" s="115" t="s">
        <v>127</v>
      </c>
      <c r="C116" s="130"/>
      <c r="D116" s="60">
        <v>376270571999</v>
      </c>
      <c r="E116" s="113">
        <v>351138</v>
      </c>
      <c r="F116" s="121"/>
      <c r="G116" s="122">
        <v>269.10000000000002</v>
      </c>
      <c r="H116" s="131" t="s">
        <v>325</v>
      </c>
      <c r="J116" s="123" t="s">
        <v>326</v>
      </c>
    </row>
    <row r="117" spans="1:13" x14ac:dyDescent="0.2">
      <c r="A117" s="213">
        <v>42405</v>
      </c>
      <c r="B117" s="115" t="s">
        <v>127</v>
      </c>
      <c r="C117" s="130"/>
      <c r="D117" s="60">
        <v>376269450999</v>
      </c>
      <c r="E117" s="113">
        <v>350960</v>
      </c>
      <c r="F117" s="121"/>
      <c r="G117" s="122">
        <f>27.31+75.34</f>
        <v>102.65</v>
      </c>
      <c r="H117" s="131" t="s">
        <v>327</v>
      </c>
      <c r="J117" s="129" t="s">
        <v>328</v>
      </c>
      <c r="K117" s="19"/>
      <c r="L117" s="19"/>
      <c r="M117" s="19"/>
    </row>
    <row r="118" spans="1:13" x14ac:dyDescent="0.2">
      <c r="A118" s="213">
        <v>42403</v>
      </c>
      <c r="B118" s="115" t="s">
        <v>127</v>
      </c>
      <c r="C118" s="130"/>
      <c r="D118" s="60">
        <v>376269450999</v>
      </c>
      <c r="E118" s="113">
        <v>350960</v>
      </c>
      <c r="F118" s="121"/>
      <c r="G118" s="122">
        <f>32.81+236.14</f>
        <v>268.95</v>
      </c>
      <c r="H118" s="131" t="s">
        <v>329</v>
      </c>
      <c r="J118" s="129" t="s">
        <v>328</v>
      </c>
      <c r="K118" s="19"/>
      <c r="L118" s="19"/>
      <c r="M118" s="19"/>
    </row>
    <row r="119" spans="1:13" x14ac:dyDescent="0.2">
      <c r="A119" s="213">
        <v>42404</v>
      </c>
      <c r="B119" s="115" t="s">
        <v>127</v>
      </c>
      <c r="C119" s="130"/>
      <c r="D119" s="60">
        <v>376263652996</v>
      </c>
      <c r="E119" s="113">
        <v>350330</v>
      </c>
      <c r="F119" s="121"/>
      <c r="G119" s="122">
        <f>28.21+62.74</f>
        <v>90.95</v>
      </c>
      <c r="H119" s="131" t="s">
        <v>330</v>
      </c>
      <c r="J119" s="129" t="s">
        <v>331</v>
      </c>
      <c r="K119" s="19"/>
      <c r="L119" s="19"/>
      <c r="M119" s="19"/>
    </row>
    <row r="120" spans="1:13" x14ac:dyDescent="0.2">
      <c r="A120" s="213">
        <v>42404</v>
      </c>
      <c r="B120" s="115" t="s">
        <v>127</v>
      </c>
      <c r="C120" s="130"/>
      <c r="D120" s="60">
        <v>376263652996</v>
      </c>
      <c r="E120" s="113">
        <v>350330</v>
      </c>
      <c r="F120" s="121"/>
      <c r="G120" s="122">
        <f>34.98+62.34</f>
        <v>97.32</v>
      </c>
      <c r="H120" s="131" t="s">
        <v>332</v>
      </c>
      <c r="J120" s="129" t="s">
        <v>331</v>
      </c>
      <c r="K120" s="19"/>
      <c r="L120" s="19"/>
      <c r="M120" s="19"/>
    </row>
    <row r="121" spans="1:13" x14ac:dyDescent="0.2">
      <c r="A121" s="213">
        <v>42404</v>
      </c>
      <c r="B121" s="115" t="s">
        <v>127</v>
      </c>
      <c r="C121" s="130"/>
      <c r="D121" s="60">
        <v>376263652996</v>
      </c>
      <c r="E121" s="113">
        <v>350330</v>
      </c>
      <c r="F121" s="121"/>
      <c r="G121" s="122">
        <f>16.71+42.09</f>
        <v>58.800000000000004</v>
      </c>
      <c r="H121" s="131" t="s">
        <v>333</v>
      </c>
      <c r="J121" s="129" t="s">
        <v>331</v>
      </c>
      <c r="K121" s="19"/>
      <c r="L121" s="19"/>
      <c r="M121" s="19"/>
    </row>
    <row r="122" spans="1:13" x14ac:dyDescent="0.2">
      <c r="A122" s="213">
        <v>42404</v>
      </c>
      <c r="B122" s="115" t="s">
        <v>127</v>
      </c>
      <c r="C122" s="130"/>
      <c r="D122" s="60">
        <v>376263652996</v>
      </c>
      <c r="E122" s="113">
        <v>350330</v>
      </c>
      <c r="F122" s="121"/>
      <c r="G122" s="122">
        <f>32.49+34.12</f>
        <v>66.61</v>
      </c>
      <c r="H122" s="131" t="s">
        <v>334</v>
      </c>
      <c r="J122" s="129" t="s">
        <v>331</v>
      </c>
      <c r="K122" s="19"/>
      <c r="L122" s="19"/>
      <c r="M122" s="19"/>
    </row>
    <row r="123" spans="1:13" x14ac:dyDescent="0.2">
      <c r="A123" s="213">
        <v>42405</v>
      </c>
      <c r="B123" s="115" t="s">
        <v>127</v>
      </c>
      <c r="C123" s="130"/>
      <c r="D123" s="60">
        <v>376255822995</v>
      </c>
      <c r="E123" s="113">
        <v>350107</v>
      </c>
      <c r="F123" s="121"/>
      <c r="G123" s="122">
        <v>114.85</v>
      </c>
      <c r="H123" s="131" t="s">
        <v>335</v>
      </c>
      <c r="J123" s="129" t="s">
        <v>336</v>
      </c>
      <c r="K123" s="19"/>
      <c r="L123" s="19"/>
      <c r="M123" s="19"/>
    </row>
    <row r="124" spans="1:13" x14ac:dyDescent="0.2">
      <c r="A124" s="213">
        <v>42405</v>
      </c>
      <c r="B124" s="115" t="s">
        <v>127</v>
      </c>
      <c r="C124" s="130"/>
      <c r="D124" s="60">
        <v>376255822995</v>
      </c>
      <c r="E124" s="113">
        <v>350107</v>
      </c>
      <c r="F124" s="121"/>
      <c r="G124" s="122">
        <f>12.5+77.55</f>
        <v>90.05</v>
      </c>
      <c r="H124" s="131" t="s">
        <v>337</v>
      </c>
      <c r="J124" s="129" t="s">
        <v>336</v>
      </c>
      <c r="K124" s="19"/>
      <c r="L124" s="19"/>
      <c r="M124" s="19"/>
    </row>
    <row r="125" spans="1:13" x14ac:dyDescent="0.2">
      <c r="A125" s="213">
        <v>42405</v>
      </c>
      <c r="B125" s="115" t="s">
        <v>127</v>
      </c>
      <c r="C125" s="130"/>
      <c r="D125" s="60">
        <v>376255822995</v>
      </c>
      <c r="E125" s="113">
        <v>350107</v>
      </c>
      <c r="F125" s="121"/>
      <c r="G125" s="122">
        <f>4.4+23.55</f>
        <v>27.950000000000003</v>
      </c>
      <c r="H125" s="131" t="s">
        <v>338</v>
      </c>
      <c r="J125" s="129" t="s">
        <v>336</v>
      </c>
      <c r="K125" s="19"/>
      <c r="L125" s="19"/>
      <c r="M125" s="19"/>
    </row>
    <row r="126" spans="1:13" x14ac:dyDescent="0.2">
      <c r="A126" s="213">
        <v>42401</v>
      </c>
      <c r="B126" s="115" t="s">
        <v>127</v>
      </c>
      <c r="C126" s="130"/>
      <c r="D126" s="60">
        <v>376266594993</v>
      </c>
      <c r="E126" s="113">
        <v>350536</v>
      </c>
      <c r="F126" s="121"/>
      <c r="G126" s="122">
        <v>34.520000000000003</v>
      </c>
      <c r="H126" s="131" t="s">
        <v>339</v>
      </c>
      <c r="J126" s="129" t="s">
        <v>336</v>
      </c>
      <c r="K126" s="19"/>
      <c r="L126" s="19"/>
      <c r="M126" s="19"/>
    </row>
    <row r="127" spans="1:13" x14ac:dyDescent="0.2">
      <c r="A127" s="213">
        <v>42401</v>
      </c>
      <c r="B127" s="115" t="s">
        <v>127</v>
      </c>
      <c r="C127" s="130"/>
      <c r="D127" s="60">
        <v>376264994991</v>
      </c>
      <c r="E127" s="113">
        <v>350382</v>
      </c>
      <c r="F127" s="121"/>
      <c r="G127" s="122">
        <v>128.94999999999999</v>
      </c>
      <c r="H127" s="131" t="s">
        <v>340</v>
      </c>
      <c r="J127" s="129" t="s">
        <v>336</v>
      </c>
      <c r="K127" s="19"/>
      <c r="L127" s="19"/>
      <c r="M127" s="19"/>
    </row>
    <row r="128" spans="1:13" x14ac:dyDescent="0.2">
      <c r="A128" s="213">
        <v>42403</v>
      </c>
      <c r="B128" s="115" t="s">
        <v>127</v>
      </c>
      <c r="C128" s="130"/>
      <c r="D128" s="60">
        <v>376265641997</v>
      </c>
      <c r="E128" s="113">
        <v>350428</v>
      </c>
      <c r="F128" s="121"/>
      <c r="G128" s="122">
        <v>125.95</v>
      </c>
      <c r="H128" s="131" t="s">
        <v>341</v>
      </c>
      <c r="J128" s="129" t="s">
        <v>336</v>
      </c>
      <c r="K128" s="19"/>
      <c r="L128" s="19"/>
      <c r="M128" s="19"/>
    </row>
    <row r="129" spans="1:13" x14ac:dyDescent="0.2">
      <c r="A129" s="213">
        <v>42403</v>
      </c>
      <c r="B129" s="115" t="s">
        <v>127</v>
      </c>
      <c r="C129" s="130"/>
      <c r="D129" s="60">
        <v>376270713997</v>
      </c>
      <c r="E129" s="113">
        <v>351215</v>
      </c>
      <c r="F129" s="121"/>
      <c r="G129" s="122">
        <f>34.95+72.05</f>
        <v>107</v>
      </c>
      <c r="H129" s="131" t="s">
        <v>342</v>
      </c>
      <c r="J129" s="129" t="s">
        <v>336</v>
      </c>
      <c r="K129" s="19"/>
      <c r="L129" s="19"/>
      <c r="M129" s="19"/>
    </row>
    <row r="130" spans="1:13" x14ac:dyDescent="0.2">
      <c r="A130" s="213">
        <v>42403</v>
      </c>
      <c r="B130" s="115" t="s">
        <v>127</v>
      </c>
      <c r="C130" s="130"/>
      <c r="D130" s="60">
        <v>376270713997</v>
      </c>
      <c r="E130" s="113">
        <v>351215</v>
      </c>
      <c r="F130" s="121"/>
      <c r="G130" s="122">
        <f>32.42+34.38</f>
        <v>66.800000000000011</v>
      </c>
      <c r="H130" s="131" t="s">
        <v>343</v>
      </c>
      <c r="J130" s="129" t="s">
        <v>336</v>
      </c>
      <c r="K130" s="19"/>
      <c r="L130" s="19"/>
      <c r="M130" s="19"/>
    </row>
    <row r="131" spans="1:13" x14ac:dyDescent="0.2">
      <c r="A131" s="213">
        <v>42403</v>
      </c>
      <c r="B131" s="115" t="s">
        <v>127</v>
      </c>
      <c r="C131" s="130"/>
      <c r="D131" s="60">
        <v>376270713997</v>
      </c>
      <c r="E131" s="113">
        <v>351215</v>
      </c>
      <c r="F131" s="121"/>
      <c r="G131" s="122">
        <f>12.56+37.39</f>
        <v>49.95</v>
      </c>
      <c r="H131" s="131" t="s">
        <v>344</v>
      </c>
      <c r="J131" s="129" t="s">
        <v>336</v>
      </c>
      <c r="K131" s="19"/>
      <c r="L131" s="19"/>
      <c r="M131" s="19"/>
    </row>
    <row r="132" spans="1:13" x14ac:dyDescent="0.2">
      <c r="A132" s="213">
        <v>42403</v>
      </c>
      <c r="B132" s="115" t="s">
        <v>127</v>
      </c>
      <c r="C132" s="130"/>
      <c r="D132" s="60">
        <v>376270713997</v>
      </c>
      <c r="E132" s="113">
        <v>351215</v>
      </c>
      <c r="F132" s="121"/>
      <c r="G132" s="122">
        <f>31.54+56.85</f>
        <v>88.39</v>
      </c>
      <c r="H132" s="131" t="s">
        <v>345</v>
      </c>
      <c r="J132" s="129" t="s">
        <v>336</v>
      </c>
      <c r="K132" s="19"/>
      <c r="L132" s="19"/>
      <c r="M132" s="19"/>
    </row>
    <row r="133" spans="1:13" x14ac:dyDescent="0.2">
      <c r="A133" s="213">
        <v>42403</v>
      </c>
      <c r="B133" s="115" t="s">
        <v>127</v>
      </c>
      <c r="C133" s="130"/>
      <c r="D133" s="60">
        <v>376270713997</v>
      </c>
      <c r="E133" s="113">
        <v>351215</v>
      </c>
      <c r="F133" s="121"/>
      <c r="G133" s="122">
        <f>43.05+134.25</f>
        <v>177.3</v>
      </c>
      <c r="H133" s="131" t="s">
        <v>346</v>
      </c>
      <c r="J133" s="129" t="s">
        <v>336</v>
      </c>
      <c r="K133" s="19"/>
      <c r="L133" s="19"/>
      <c r="M133" s="19"/>
    </row>
    <row r="134" spans="1:13" x14ac:dyDescent="0.2">
      <c r="A134" s="213">
        <v>42403</v>
      </c>
      <c r="B134" s="115" t="s">
        <v>127</v>
      </c>
      <c r="C134" s="130"/>
      <c r="D134" s="60">
        <v>376270713997</v>
      </c>
      <c r="E134" s="113">
        <v>351215</v>
      </c>
      <c r="F134" s="121"/>
      <c r="G134" s="122">
        <f>26.15+56.85</f>
        <v>83</v>
      </c>
      <c r="H134" s="131" t="s">
        <v>324</v>
      </c>
      <c r="J134" s="129" t="s">
        <v>336</v>
      </c>
      <c r="K134" s="19"/>
      <c r="L134" s="19"/>
      <c r="M134" s="19"/>
    </row>
    <row r="135" spans="1:13" s="203" customFormat="1" x14ac:dyDescent="0.2">
      <c r="A135" s="221" t="s">
        <v>252</v>
      </c>
      <c r="B135" s="216" t="s">
        <v>0</v>
      </c>
      <c r="C135" s="203" t="s">
        <v>209</v>
      </c>
      <c r="D135" s="59">
        <v>376271179990</v>
      </c>
      <c r="E135" s="68">
        <v>217848</v>
      </c>
      <c r="F135" s="217" t="s">
        <v>347</v>
      </c>
      <c r="G135" s="218">
        <v>108.85</v>
      </c>
      <c r="H135" s="223"/>
      <c r="J135" s="224" t="s">
        <v>246</v>
      </c>
    </row>
    <row r="136" spans="1:13" s="203" customFormat="1" x14ac:dyDescent="0.2">
      <c r="A136" s="221" t="s">
        <v>252</v>
      </c>
      <c r="B136" s="216" t="s">
        <v>0</v>
      </c>
      <c r="C136" s="203" t="s">
        <v>209</v>
      </c>
      <c r="D136" s="59">
        <v>376271225991</v>
      </c>
      <c r="E136" s="68">
        <v>351401</v>
      </c>
      <c r="F136" s="217" t="s">
        <v>348</v>
      </c>
      <c r="G136" s="218">
        <v>80.849999999999994</v>
      </c>
      <c r="H136" s="223"/>
      <c r="J136" s="224" t="s">
        <v>246</v>
      </c>
    </row>
    <row r="137" spans="1:13" x14ac:dyDescent="0.2">
      <c r="A137" s="103" t="s">
        <v>252</v>
      </c>
      <c r="B137" s="20" t="s">
        <v>0</v>
      </c>
      <c r="C137" s="130"/>
      <c r="D137" s="60">
        <v>376265267991</v>
      </c>
      <c r="E137" s="29">
        <v>350416</v>
      </c>
      <c r="F137" s="121" t="s">
        <v>29</v>
      </c>
      <c r="G137" s="225">
        <v>113.9</v>
      </c>
      <c r="H137" s="131"/>
      <c r="J137" s="132" t="s">
        <v>30</v>
      </c>
    </row>
    <row r="138" spans="1:13" x14ac:dyDescent="0.2">
      <c r="A138" s="103" t="s">
        <v>252</v>
      </c>
      <c r="B138" s="20" t="s">
        <v>0</v>
      </c>
      <c r="C138" s="130"/>
      <c r="D138" s="60">
        <v>376208859995</v>
      </c>
      <c r="E138" s="29">
        <v>216789</v>
      </c>
      <c r="F138" s="121" t="s">
        <v>31</v>
      </c>
      <c r="G138" s="225">
        <v>44</v>
      </c>
      <c r="H138" s="131"/>
      <c r="J138" s="132" t="s">
        <v>6</v>
      </c>
    </row>
    <row r="139" spans="1:13" ht="36" customHeight="1" x14ac:dyDescent="0.2">
      <c r="A139" s="213">
        <v>42412</v>
      </c>
      <c r="B139" s="20" t="s">
        <v>127</v>
      </c>
      <c r="C139" s="130"/>
      <c r="D139" s="60">
        <v>376263652996</v>
      </c>
      <c r="E139" s="29">
        <v>350330</v>
      </c>
      <c r="F139" s="121"/>
      <c r="G139" s="122">
        <v>94.05</v>
      </c>
      <c r="H139" s="131" t="s">
        <v>349</v>
      </c>
      <c r="J139" s="133" t="s">
        <v>350</v>
      </c>
    </row>
    <row r="140" spans="1:13" ht="22.9" customHeight="1" x14ac:dyDescent="0.2">
      <c r="A140" s="213">
        <v>42409</v>
      </c>
      <c r="B140" s="20" t="s">
        <v>127</v>
      </c>
      <c r="C140" s="130"/>
      <c r="D140" s="60">
        <v>376244923995</v>
      </c>
      <c r="E140" s="29">
        <v>226743</v>
      </c>
      <c r="F140" s="121"/>
      <c r="G140" s="122">
        <v>33.5</v>
      </c>
      <c r="H140" s="131" t="s">
        <v>351</v>
      </c>
      <c r="J140" s="133" t="s">
        <v>352</v>
      </c>
    </row>
    <row r="141" spans="1:13" x14ac:dyDescent="0.2">
      <c r="A141" s="213">
        <v>42408</v>
      </c>
      <c r="B141" s="20" t="s">
        <v>127</v>
      </c>
      <c r="C141" s="130"/>
      <c r="D141" s="60">
        <v>376255822995</v>
      </c>
      <c r="E141" s="29">
        <v>350107</v>
      </c>
      <c r="F141" s="121"/>
      <c r="G141" s="122">
        <v>56.9</v>
      </c>
      <c r="H141" s="134" t="s">
        <v>353</v>
      </c>
      <c r="J141" s="124" t="s">
        <v>305</v>
      </c>
    </row>
    <row r="142" spans="1:13" x14ac:dyDescent="0.2">
      <c r="A142" s="213">
        <v>42409</v>
      </c>
      <c r="B142" s="20" t="s">
        <v>127</v>
      </c>
      <c r="C142" s="130"/>
      <c r="D142" s="60">
        <v>376266954993</v>
      </c>
      <c r="E142" s="29">
        <v>350536</v>
      </c>
      <c r="F142" s="121"/>
      <c r="G142" s="122">
        <f>29.16+28.57</f>
        <v>57.730000000000004</v>
      </c>
      <c r="H142" s="134" t="s">
        <v>354</v>
      </c>
      <c r="J142" s="124" t="s">
        <v>305</v>
      </c>
    </row>
    <row r="143" spans="1:13" x14ac:dyDescent="0.2">
      <c r="A143" s="213">
        <v>42409</v>
      </c>
      <c r="B143" s="20" t="s">
        <v>127</v>
      </c>
      <c r="C143" s="130"/>
      <c r="D143" s="60">
        <v>376266954993</v>
      </c>
      <c r="E143" s="29">
        <v>350536</v>
      </c>
      <c r="F143" s="121"/>
      <c r="G143" s="122">
        <f>44.75+53.64</f>
        <v>98.39</v>
      </c>
      <c r="H143" s="134" t="s">
        <v>355</v>
      </c>
      <c r="J143" s="124" t="s">
        <v>305</v>
      </c>
    </row>
    <row r="144" spans="1:13" x14ac:dyDescent="0.2">
      <c r="A144" s="213">
        <v>42409</v>
      </c>
      <c r="B144" s="20" t="s">
        <v>127</v>
      </c>
      <c r="C144" s="130"/>
      <c r="D144" s="60">
        <v>376266954993</v>
      </c>
      <c r="E144" s="29">
        <v>350536</v>
      </c>
      <c r="F144" s="121"/>
      <c r="G144" s="122">
        <f>30.07+65.11</f>
        <v>95.18</v>
      </c>
      <c r="H144" s="134" t="s">
        <v>356</v>
      </c>
      <c r="J144" s="124" t="s">
        <v>305</v>
      </c>
    </row>
    <row r="145" spans="1:10" x14ac:dyDescent="0.2">
      <c r="A145" s="213">
        <v>42411</v>
      </c>
      <c r="B145" s="20" t="s">
        <v>127</v>
      </c>
      <c r="C145" s="130"/>
      <c r="D145" s="60">
        <v>376270713997</v>
      </c>
      <c r="E145" s="29">
        <v>351215</v>
      </c>
      <c r="F145" s="121"/>
      <c r="G145" s="122">
        <f>27.95+62.05</f>
        <v>90</v>
      </c>
      <c r="H145" s="134" t="s">
        <v>357</v>
      </c>
      <c r="J145" s="124" t="s">
        <v>305</v>
      </c>
    </row>
    <row r="146" spans="1:10" x14ac:dyDescent="0.2">
      <c r="A146" s="213">
        <v>42411</v>
      </c>
      <c r="B146" s="20" t="s">
        <v>127</v>
      </c>
      <c r="C146" s="130"/>
      <c r="D146" s="60">
        <v>376270713997</v>
      </c>
      <c r="E146" s="29">
        <v>351215</v>
      </c>
      <c r="F146" s="121"/>
      <c r="G146" s="122">
        <f>26.59+117.29</f>
        <v>143.88</v>
      </c>
      <c r="H146" s="134" t="s">
        <v>358</v>
      </c>
      <c r="J146" s="124" t="s">
        <v>305</v>
      </c>
    </row>
    <row r="147" spans="1:10" x14ac:dyDescent="0.2">
      <c r="A147" s="213">
        <v>42411</v>
      </c>
      <c r="B147" s="20" t="s">
        <v>127</v>
      </c>
      <c r="C147" s="130"/>
      <c r="D147" s="60">
        <v>376270713997</v>
      </c>
      <c r="E147" s="29">
        <v>351215</v>
      </c>
      <c r="F147" s="121"/>
      <c r="G147" s="122">
        <f>32.17+75.39</f>
        <v>107.56</v>
      </c>
      <c r="H147" s="134" t="s">
        <v>359</v>
      </c>
      <c r="J147" s="124" t="s">
        <v>305</v>
      </c>
    </row>
    <row r="148" spans="1:10" x14ac:dyDescent="0.2">
      <c r="A148" s="213">
        <v>42411</v>
      </c>
      <c r="B148" s="20" t="s">
        <v>127</v>
      </c>
      <c r="C148" s="130"/>
      <c r="D148" s="60">
        <v>376270713997</v>
      </c>
      <c r="E148" s="29">
        <v>351215</v>
      </c>
      <c r="F148" s="121"/>
      <c r="G148" s="122">
        <f>18.17+47.83</f>
        <v>66</v>
      </c>
      <c r="H148" s="134" t="s">
        <v>360</v>
      </c>
      <c r="J148" s="124" t="s">
        <v>305</v>
      </c>
    </row>
    <row r="149" spans="1:10" x14ac:dyDescent="0.2">
      <c r="A149" s="213">
        <v>42409</v>
      </c>
      <c r="B149" s="20" t="s">
        <v>127</v>
      </c>
      <c r="C149" s="130"/>
      <c r="D149" s="60">
        <v>376270875994</v>
      </c>
      <c r="E149" s="29">
        <v>351187</v>
      </c>
      <c r="F149" s="121"/>
      <c r="G149" s="122">
        <v>254.95</v>
      </c>
      <c r="H149" s="134" t="s">
        <v>361</v>
      </c>
      <c r="J149" s="124" t="s">
        <v>305</v>
      </c>
    </row>
    <row r="150" spans="1:10" x14ac:dyDescent="0.2">
      <c r="A150" s="213">
        <v>42410</v>
      </c>
      <c r="B150" s="20" t="s">
        <v>127</v>
      </c>
      <c r="C150" s="130"/>
      <c r="D150" s="60">
        <v>376271123998</v>
      </c>
      <c r="E150" s="29">
        <v>351306</v>
      </c>
      <c r="F150" s="121"/>
      <c r="G150" s="122">
        <v>249.9</v>
      </c>
      <c r="H150" s="134" t="s">
        <v>362</v>
      </c>
      <c r="J150" s="124" t="s">
        <v>305</v>
      </c>
    </row>
    <row r="151" spans="1:10" x14ac:dyDescent="0.2">
      <c r="A151" s="213">
        <v>42411</v>
      </c>
      <c r="B151" s="20" t="s">
        <v>127</v>
      </c>
      <c r="C151" s="130"/>
      <c r="D151" s="60">
        <v>376269450999</v>
      </c>
      <c r="E151" s="29">
        <v>350960</v>
      </c>
      <c r="F151" s="121"/>
      <c r="G151" s="122">
        <f>29.99+253.26</f>
        <v>283.25</v>
      </c>
      <c r="H151" s="134" t="s">
        <v>363</v>
      </c>
      <c r="J151" s="124" t="s">
        <v>305</v>
      </c>
    </row>
    <row r="152" spans="1:10" x14ac:dyDescent="0.2">
      <c r="A152" s="213">
        <v>42411</v>
      </c>
      <c r="B152" s="20" t="s">
        <v>127</v>
      </c>
      <c r="C152" s="130"/>
      <c r="D152" s="60">
        <v>376269450999</v>
      </c>
      <c r="E152" s="29">
        <v>350960</v>
      </c>
      <c r="F152" s="121"/>
      <c r="G152" s="122">
        <f>20.36+39.59</f>
        <v>59.95</v>
      </c>
      <c r="H152" s="134" t="s">
        <v>364</v>
      </c>
      <c r="J152" s="124" t="s">
        <v>305</v>
      </c>
    </row>
    <row r="153" spans="1:10" x14ac:dyDescent="0.2">
      <c r="A153" s="213">
        <v>42419</v>
      </c>
      <c r="B153" s="20" t="s">
        <v>127</v>
      </c>
      <c r="C153" s="130"/>
      <c r="D153" s="60">
        <v>376213764990</v>
      </c>
      <c r="E153" s="29">
        <v>214803</v>
      </c>
      <c r="F153" s="121"/>
      <c r="G153" s="122">
        <v>46.95</v>
      </c>
      <c r="H153" s="134" t="s">
        <v>365</v>
      </c>
      <c r="J153" s="124" t="s">
        <v>366</v>
      </c>
    </row>
    <row r="154" spans="1:10" x14ac:dyDescent="0.2">
      <c r="A154" s="213">
        <v>42415</v>
      </c>
      <c r="B154" s="20" t="s">
        <v>127</v>
      </c>
      <c r="C154" s="130"/>
      <c r="D154" s="60">
        <v>376244923995</v>
      </c>
      <c r="E154" s="29">
        <v>226743</v>
      </c>
      <c r="F154" s="121"/>
      <c r="G154" s="122">
        <v>69.849999999999994</v>
      </c>
      <c r="H154" s="134" t="s">
        <v>367</v>
      </c>
      <c r="J154" s="124" t="s">
        <v>368</v>
      </c>
    </row>
    <row r="155" spans="1:10" x14ac:dyDescent="0.2">
      <c r="A155" s="213">
        <v>42416</v>
      </c>
      <c r="B155" s="20" t="s">
        <v>127</v>
      </c>
      <c r="C155" s="130"/>
      <c r="D155" s="60">
        <v>3769263652996</v>
      </c>
      <c r="E155" s="29">
        <v>350330</v>
      </c>
      <c r="F155" s="121"/>
      <c r="G155" s="122">
        <f>26.99+45.99</f>
        <v>72.98</v>
      </c>
      <c r="H155" s="134" t="s">
        <v>369</v>
      </c>
      <c r="J155" s="124" t="s">
        <v>370</v>
      </c>
    </row>
    <row r="156" spans="1:10" x14ac:dyDescent="0.2">
      <c r="A156" s="213">
        <v>42416</v>
      </c>
      <c r="B156" s="20" t="s">
        <v>127</v>
      </c>
      <c r="C156" s="130"/>
      <c r="D156" s="60">
        <v>3769263652996</v>
      </c>
      <c r="E156" s="29">
        <v>350330</v>
      </c>
      <c r="F156" s="121"/>
      <c r="G156" s="122">
        <f>22.05+46.38</f>
        <v>68.430000000000007</v>
      </c>
      <c r="H156" s="134" t="s">
        <v>371</v>
      </c>
      <c r="J156" s="124" t="s">
        <v>370</v>
      </c>
    </row>
    <row r="157" spans="1:10" x14ac:dyDescent="0.2">
      <c r="A157" s="213">
        <v>42417</v>
      </c>
      <c r="B157" s="20" t="s">
        <v>127</v>
      </c>
      <c r="C157" s="130"/>
      <c r="D157" s="60">
        <v>376271123998</v>
      </c>
      <c r="E157" s="29">
        <v>351306</v>
      </c>
      <c r="F157" s="121"/>
      <c r="G157" s="122">
        <f>220.06+56.89</f>
        <v>276.95</v>
      </c>
      <c r="H157" s="134" t="s">
        <v>372</v>
      </c>
      <c r="J157" s="124" t="s">
        <v>305</v>
      </c>
    </row>
    <row r="158" spans="1:10" x14ac:dyDescent="0.2">
      <c r="A158" s="213">
        <v>42419</v>
      </c>
      <c r="B158" s="20" t="s">
        <v>127</v>
      </c>
      <c r="C158" s="130"/>
      <c r="D158" s="60">
        <v>376271123998</v>
      </c>
      <c r="E158" s="29">
        <v>351306</v>
      </c>
      <c r="F158" s="121"/>
      <c r="G158" s="122">
        <f>122.49+22.46</f>
        <v>144.94999999999999</v>
      </c>
      <c r="H158" s="134" t="s">
        <v>373</v>
      </c>
      <c r="J158" s="124" t="s">
        <v>305</v>
      </c>
    </row>
    <row r="159" spans="1:10" x14ac:dyDescent="0.2">
      <c r="A159" s="213">
        <v>42417</v>
      </c>
      <c r="B159" s="20" t="s">
        <v>127</v>
      </c>
      <c r="C159" s="130"/>
      <c r="D159" s="60">
        <v>376270875994</v>
      </c>
      <c r="E159" s="29">
        <v>351187</v>
      </c>
      <c r="F159" s="121"/>
      <c r="G159" s="122">
        <f>5.79+103.16</f>
        <v>108.95</v>
      </c>
      <c r="H159" s="134" t="s">
        <v>374</v>
      </c>
      <c r="J159" s="124" t="s">
        <v>305</v>
      </c>
    </row>
    <row r="160" spans="1:10" x14ac:dyDescent="0.2">
      <c r="A160" s="213">
        <v>42417</v>
      </c>
      <c r="B160" s="20" t="s">
        <v>127</v>
      </c>
      <c r="C160" s="130"/>
      <c r="D160" s="60">
        <v>376270875994</v>
      </c>
      <c r="E160" s="29">
        <v>351187</v>
      </c>
      <c r="F160" s="121"/>
      <c r="G160" s="122">
        <f>92.6+367.35</f>
        <v>459.95000000000005</v>
      </c>
      <c r="H160" s="134" t="s">
        <v>375</v>
      </c>
      <c r="J160" s="124" t="s">
        <v>305</v>
      </c>
    </row>
    <row r="161" spans="1:10" x14ac:dyDescent="0.2">
      <c r="A161" s="213">
        <v>42418</v>
      </c>
      <c r="B161" s="20" t="s">
        <v>127</v>
      </c>
      <c r="C161" s="130"/>
      <c r="D161" s="60">
        <v>376270713997</v>
      </c>
      <c r="E161" s="29">
        <v>351215</v>
      </c>
      <c r="F161" s="121"/>
      <c r="G161" s="122">
        <f>27.17+62.5</f>
        <v>89.67</v>
      </c>
      <c r="H161" s="134" t="s">
        <v>376</v>
      </c>
      <c r="J161" s="124" t="s">
        <v>305</v>
      </c>
    </row>
    <row r="162" spans="1:10" x14ac:dyDescent="0.2">
      <c r="A162" s="213">
        <v>42417</v>
      </c>
      <c r="B162" s="20" t="s">
        <v>127</v>
      </c>
      <c r="C162" s="130"/>
      <c r="D162" s="60">
        <v>376270713997</v>
      </c>
      <c r="E162" s="29">
        <v>351215</v>
      </c>
      <c r="F162" s="121"/>
      <c r="G162" s="122">
        <f>28.09+126.91</f>
        <v>155</v>
      </c>
      <c r="H162" s="134" t="s">
        <v>377</v>
      </c>
      <c r="J162" s="124" t="s">
        <v>305</v>
      </c>
    </row>
    <row r="163" spans="1:10" x14ac:dyDescent="0.2">
      <c r="A163" s="213">
        <v>42417</v>
      </c>
      <c r="B163" s="20" t="s">
        <v>127</v>
      </c>
      <c r="C163" s="130"/>
      <c r="D163" s="60">
        <v>376270713997</v>
      </c>
      <c r="E163" s="29">
        <v>351215</v>
      </c>
      <c r="F163" s="121"/>
      <c r="G163" s="122">
        <f>19.82+38.84</f>
        <v>58.660000000000004</v>
      </c>
      <c r="H163" s="134" t="s">
        <v>378</v>
      </c>
      <c r="J163" s="124" t="s">
        <v>305</v>
      </c>
    </row>
    <row r="164" spans="1:10" x14ac:dyDescent="0.2">
      <c r="A164" s="213">
        <v>42415</v>
      </c>
      <c r="B164" s="20" t="s">
        <v>127</v>
      </c>
      <c r="C164" s="130"/>
      <c r="D164" s="60">
        <v>376270713997</v>
      </c>
      <c r="E164" s="29">
        <v>351215</v>
      </c>
      <c r="F164" s="121"/>
      <c r="G164" s="122">
        <f>16.22+34.9</f>
        <v>51.12</v>
      </c>
      <c r="H164" s="134" t="s">
        <v>379</v>
      </c>
      <c r="J164" s="124" t="s">
        <v>305</v>
      </c>
    </row>
    <row r="165" spans="1:10" x14ac:dyDescent="0.2">
      <c r="A165" s="213">
        <v>42416</v>
      </c>
      <c r="B165" s="20" t="s">
        <v>127</v>
      </c>
      <c r="C165" s="130"/>
      <c r="D165" s="60">
        <v>376269450999</v>
      </c>
      <c r="E165" s="29">
        <v>350960</v>
      </c>
      <c r="F165" s="121"/>
      <c r="G165" s="122">
        <v>168.32</v>
      </c>
      <c r="H165" s="134" t="s">
        <v>380</v>
      </c>
      <c r="J165" s="124" t="s">
        <v>305</v>
      </c>
    </row>
    <row r="166" spans="1:10" x14ac:dyDescent="0.2">
      <c r="A166" s="213">
        <v>42418</v>
      </c>
      <c r="B166" s="20" t="s">
        <v>127</v>
      </c>
      <c r="C166" s="130"/>
      <c r="D166" s="60">
        <v>376255822995</v>
      </c>
      <c r="E166" s="29">
        <v>350107</v>
      </c>
      <c r="F166" s="121"/>
      <c r="G166" s="122">
        <v>121.9</v>
      </c>
      <c r="H166" s="134" t="s">
        <v>381</v>
      </c>
      <c r="J166" s="124" t="s">
        <v>305</v>
      </c>
    </row>
    <row r="167" spans="1:10" x14ac:dyDescent="0.2">
      <c r="A167" s="103" t="s">
        <v>251</v>
      </c>
      <c r="B167" s="20" t="s">
        <v>0</v>
      </c>
      <c r="C167" s="130"/>
      <c r="D167" s="126" t="s">
        <v>27</v>
      </c>
      <c r="E167" s="29">
        <v>223712</v>
      </c>
      <c r="F167" s="120" t="s">
        <v>28</v>
      </c>
      <c r="G167" s="135">
        <v>149.94999999999999</v>
      </c>
      <c r="H167" s="131"/>
      <c r="J167" s="123" t="s">
        <v>6</v>
      </c>
    </row>
    <row r="168" spans="1:10" s="203" customFormat="1" x14ac:dyDescent="0.2">
      <c r="A168" s="221" t="s">
        <v>251</v>
      </c>
      <c r="B168" s="216" t="s">
        <v>0</v>
      </c>
      <c r="C168" s="203" t="s">
        <v>209</v>
      </c>
      <c r="D168" s="226" t="s">
        <v>382</v>
      </c>
      <c r="E168" s="68">
        <v>350228</v>
      </c>
      <c r="F168" s="217" t="s">
        <v>383</v>
      </c>
      <c r="G168" s="227">
        <v>84.7</v>
      </c>
      <c r="H168" s="223"/>
      <c r="J168" s="220" t="s">
        <v>246</v>
      </c>
    </row>
    <row r="169" spans="1:10" x14ac:dyDescent="0.2">
      <c r="A169" s="103" t="s">
        <v>251</v>
      </c>
      <c r="B169" s="20" t="s">
        <v>0</v>
      </c>
      <c r="C169" s="130"/>
      <c r="D169" s="136" t="s">
        <v>32</v>
      </c>
      <c r="E169" s="29">
        <v>212430</v>
      </c>
      <c r="F169" s="120" t="s">
        <v>33</v>
      </c>
      <c r="G169" s="137">
        <v>79.95</v>
      </c>
      <c r="H169" s="131"/>
      <c r="J169" s="123" t="s">
        <v>6</v>
      </c>
    </row>
    <row r="170" spans="1:10" x14ac:dyDescent="0.2">
      <c r="A170" s="103" t="s">
        <v>251</v>
      </c>
      <c r="B170" s="20" t="s">
        <v>0</v>
      </c>
      <c r="C170" s="130"/>
      <c r="D170" s="138">
        <v>376238619997</v>
      </c>
      <c r="E170" s="29">
        <v>221953</v>
      </c>
      <c r="F170" s="120"/>
      <c r="G170" s="137">
        <v>79.95</v>
      </c>
      <c r="H170" s="131" t="s">
        <v>34</v>
      </c>
      <c r="J170" s="123" t="s">
        <v>35</v>
      </c>
    </row>
    <row r="171" spans="1:10" s="203" customFormat="1" x14ac:dyDescent="0.2">
      <c r="A171" s="221" t="s">
        <v>251</v>
      </c>
      <c r="B171" s="216" t="s">
        <v>0</v>
      </c>
      <c r="C171" s="203" t="s">
        <v>209</v>
      </c>
      <c r="D171" s="226" t="s">
        <v>384</v>
      </c>
      <c r="E171" s="68">
        <v>350039</v>
      </c>
      <c r="F171" s="217" t="s">
        <v>385</v>
      </c>
      <c r="G171" s="227">
        <v>56.65</v>
      </c>
      <c r="H171" s="223"/>
      <c r="J171" s="220" t="s">
        <v>246</v>
      </c>
    </row>
    <row r="172" spans="1:10" s="203" customFormat="1" x14ac:dyDescent="0.2">
      <c r="A172" s="221" t="s">
        <v>251</v>
      </c>
      <c r="B172" s="216" t="s">
        <v>0</v>
      </c>
      <c r="C172" s="203" t="s">
        <v>209</v>
      </c>
      <c r="D172" s="226" t="s">
        <v>386</v>
      </c>
      <c r="E172" s="68">
        <v>215055</v>
      </c>
      <c r="F172" s="217" t="s">
        <v>387</v>
      </c>
      <c r="G172" s="227">
        <v>53.95</v>
      </c>
      <c r="H172" s="223"/>
      <c r="J172" s="220" t="s">
        <v>246</v>
      </c>
    </row>
    <row r="173" spans="1:10" s="203" customFormat="1" x14ac:dyDescent="0.2">
      <c r="A173" s="221" t="s">
        <v>251</v>
      </c>
      <c r="B173" s="216" t="s">
        <v>0</v>
      </c>
      <c r="C173" s="203" t="s">
        <v>209</v>
      </c>
      <c r="D173" s="226" t="s">
        <v>388</v>
      </c>
      <c r="E173" s="68">
        <v>350231</v>
      </c>
      <c r="F173" s="217" t="s">
        <v>389</v>
      </c>
      <c r="G173" s="227">
        <v>49.95</v>
      </c>
      <c r="H173" s="223"/>
      <c r="J173" s="220" t="s">
        <v>246</v>
      </c>
    </row>
    <row r="174" spans="1:10" s="203" customFormat="1" x14ac:dyDescent="0.2">
      <c r="A174" s="221" t="s">
        <v>251</v>
      </c>
      <c r="B174" s="216" t="s">
        <v>0</v>
      </c>
      <c r="C174" s="203" t="s">
        <v>209</v>
      </c>
      <c r="D174" s="226" t="s">
        <v>390</v>
      </c>
      <c r="E174" s="68">
        <v>351237</v>
      </c>
      <c r="F174" s="217" t="s">
        <v>391</v>
      </c>
      <c r="G174" s="227">
        <v>39.9</v>
      </c>
      <c r="H174" s="223"/>
      <c r="J174" s="220" t="s">
        <v>246</v>
      </c>
    </row>
    <row r="175" spans="1:10" s="203" customFormat="1" x14ac:dyDescent="0.2">
      <c r="A175" s="221" t="s">
        <v>251</v>
      </c>
      <c r="B175" s="216" t="s">
        <v>0</v>
      </c>
      <c r="C175" s="203" t="s">
        <v>209</v>
      </c>
      <c r="D175" s="226" t="s">
        <v>392</v>
      </c>
      <c r="E175" s="68">
        <v>350600</v>
      </c>
      <c r="F175" s="217" t="s">
        <v>393</v>
      </c>
      <c r="G175" s="227">
        <v>89.49</v>
      </c>
      <c r="H175" s="223"/>
      <c r="J175" s="220" t="s">
        <v>246</v>
      </c>
    </row>
    <row r="176" spans="1:10" s="203" customFormat="1" x14ac:dyDescent="0.2">
      <c r="A176" s="221" t="s">
        <v>251</v>
      </c>
      <c r="B176" s="216" t="s">
        <v>0</v>
      </c>
      <c r="C176" s="203" t="s">
        <v>209</v>
      </c>
      <c r="D176" s="226" t="s">
        <v>394</v>
      </c>
      <c r="E176" s="68">
        <v>350528</v>
      </c>
      <c r="F176" s="217" t="s">
        <v>395</v>
      </c>
      <c r="G176" s="227">
        <v>106.14</v>
      </c>
      <c r="H176" s="223"/>
      <c r="J176" s="220" t="s">
        <v>246</v>
      </c>
    </row>
    <row r="177" spans="1:10" s="203" customFormat="1" x14ac:dyDescent="0.2">
      <c r="A177" s="221" t="s">
        <v>251</v>
      </c>
      <c r="B177" s="216" t="s">
        <v>0</v>
      </c>
      <c r="C177" s="203" t="s">
        <v>209</v>
      </c>
      <c r="D177" s="226" t="s">
        <v>396</v>
      </c>
      <c r="E177" s="68">
        <v>350503</v>
      </c>
      <c r="F177" s="217" t="s">
        <v>397</v>
      </c>
      <c r="G177" s="227">
        <v>90.63</v>
      </c>
      <c r="H177" s="223"/>
      <c r="J177" s="220" t="s">
        <v>246</v>
      </c>
    </row>
    <row r="178" spans="1:10" s="203" customFormat="1" x14ac:dyDescent="0.2">
      <c r="A178" s="221" t="s">
        <v>251</v>
      </c>
      <c r="B178" s="216" t="s">
        <v>0</v>
      </c>
      <c r="C178" s="203" t="s">
        <v>209</v>
      </c>
      <c r="D178" s="226" t="s">
        <v>290</v>
      </c>
      <c r="E178" s="68">
        <v>350107</v>
      </c>
      <c r="F178" s="217" t="s">
        <v>398</v>
      </c>
      <c r="G178" s="227">
        <v>56.95</v>
      </c>
      <c r="H178" s="228"/>
      <c r="J178" s="220" t="s">
        <v>246</v>
      </c>
    </row>
    <row r="179" spans="1:10" s="203" customFormat="1" x14ac:dyDescent="0.2">
      <c r="A179" s="221" t="s">
        <v>251</v>
      </c>
      <c r="B179" s="216" t="s">
        <v>0</v>
      </c>
      <c r="C179" s="203" t="s">
        <v>209</v>
      </c>
      <c r="D179" s="229">
        <v>376270422995</v>
      </c>
      <c r="E179" s="68">
        <v>351128</v>
      </c>
      <c r="F179" s="217" t="s">
        <v>399</v>
      </c>
      <c r="G179" s="227">
        <v>52.95</v>
      </c>
      <c r="H179" s="223"/>
      <c r="J179" s="220" t="s">
        <v>246</v>
      </c>
    </row>
    <row r="180" spans="1:10" x14ac:dyDescent="0.2">
      <c r="A180" s="213">
        <v>42419</v>
      </c>
      <c r="B180" s="20" t="s">
        <v>127</v>
      </c>
      <c r="C180" s="130"/>
      <c r="D180" s="60">
        <v>376262393998</v>
      </c>
      <c r="E180" s="29">
        <v>226544</v>
      </c>
      <c r="F180" s="121"/>
      <c r="G180" s="122">
        <v>100.9</v>
      </c>
      <c r="H180" s="131" t="s">
        <v>400</v>
      </c>
      <c r="J180" s="123" t="s">
        <v>401</v>
      </c>
    </row>
    <row r="181" spans="1:10" x14ac:dyDescent="0.2">
      <c r="A181" s="213">
        <v>42423</v>
      </c>
      <c r="B181" s="20" t="s">
        <v>127</v>
      </c>
      <c r="C181" s="130"/>
      <c r="D181" s="60">
        <v>376270713997</v>
      </c>
      <c r="E181" s="29">
        <v>351215</v>
      </c>
      <c r="F181" s="121"/>
      <c r="G181" s="122">
        <v>89.04</v>
      </c>
      <c r="H181" s="131" t="s">
        <v>402</v>
      </c>
      <c r="J181" s="123" t="s">
        <v>403</v>
      </c>
    </row>
    <row r="182" spans="1:10" x14ac:dyDescent="0.2">
      <c r="A182" s="213">
        <v>42424</v>
      </c>
      <c r="B182" s="20" t="s">
        <v>127</v>
      </c>
      <c r="C182" s="130"/>
      <c r="D182" s="60">
        <v>376263652996</v>
      </c>
      <c r="E182" s="29">
        <v>350330</v>
      </c>
      <c r="F182" s="121"/>
      <c r="G182" s="122">
        <f>42.85+38.85</f>
        <v>81.7</v>
      </c>
      <c r="H182" s="131" t="s">
        <v>404</v>
      </c>
      <c r="J182" s="168" t="s">
        <v>405</v>
      </c>
    </row>
    <row r="183" spans="1:10" x14ac:dyDescent="0.2">
      <c r="A183" s="213">
        <v>42422</v>
      </c>
      <c r="B183" s="20" t="s">
        <v>127</v>
      </c>
      <c r="C183" s="130"/>
      <c r="D183" s="60">
        <v>376263652996</v>
      </c>
      <c r="E183" s="29">
        <v>350330</v>
      </c>
      <c r="F183" s="121"/>
      <c r="G183" s="122">
        <f>25.51+49.34</f>
        <v>74.850000000000009</v>
      </c>
      <c r="H183" s="131" t="s">
        <v>406</v>
      </c>
      <c r="J183" s="168" t="s">
        <v>405</v>
      </c>
    </row>
    <row r="184" spans="1:10" x14ac:dyDescent="0.2">
      <c r="A184" s="213">
        <v>42424</v>
      </c>
      <c r="B184" s="20" t="s">
        <v>127</v>
      </c>
      <c r="C184" s="130"/>
      <c r="D184" s="60">
        <v>376259904997</v>
      </c>
      <c r="E184" s="29">
        <v>350202</v>
      </c>
      <c r="F184" s="121"/>
      <c r="G184" s="122">
        <v>133.65</v>
      </c>
      <c r="H184" s="131" t="s">
        <v>407</v>
      </c>
      <c r="J184" s="168" t="s">
        <v>408</v>
      </c>
    </row>
    <row r="185" spans="1:10" x14ac:dyDescent="0.2">
      <c r="A185" s="213">
        <v>42423</v>
      </c>
      <c r="B185" s="20" t="s">
        <v>127</v>
      </c>
      <c r="C185" s="130"/>
      <c r="D185" s="60">
        <v>376229627991</v>
      </c>
      <c r="E185" s="29">
        <v>220937</v>
      </c>
      <c r="F185" s="121"/>
      <c r="G185" s="122">
        <v>54.95</v>
      </c>
      <c r="H185" s="131" t="s">
        <v>409</v>
      </c>
      <c r="J185" s="168" t="s">
        <v>410</v>
      </c>
    </row>
    <row r="186" spans="1:10" x14ac:dyDescent="0.2">
      <c r="A186" s="213">
        <v>42423</v>
      </c>
      <c r="B186" s="20" t="s">
        <v>127</v>
      </c>
      <c r="C186" s="130"/>
      <c r="D186" s="60">
        <v>376270571999</v>
      </c>
      <c r="E186" s="29">
        <v>351138</v>
      </c>
      <c r="F186" s="121"/>
      <c r="G186" s="122">
        <v>100.9</v>
      </c>
      <c r="H186" s="131" t="s">
        <v>411</v>
      </c>
      <c r="J186" s="168" t="s">
        <v>412</v>
      </c>
    </row>
    <row r="187" spans="1:10" x14ac:dyDescent="0.2">
      <c r="A187" s="213">
        <v>42423</v>
      </c>
      <c r="B187" s="20" t="s">
        <v>127</v>
      </c>
      <c r="C187" s="130"/>
      <c r="D187" s="60">
        <v>376213691995</v>
      </c>
      <c r="E187" s="29">
        <v>1236</v>
      </c>
      <c r="F187" s="121"/>
      <c r="G187" s="122">
        <v>46.95</v>
      </c>
      <c r="H187" s="131" t="s">
        <v>413</v>
      </c>
      <c r="J187" s="168" t="s">
        <v>412</v>
      </c>
    </row>
    <row r="188" spans="1:10" x14ac:dyDescent="0.2">
      <c r="A188" s="213">
        <v>42423</v>
      </c>
      <c r="B188" s="20" t="s">
        <v>127</v>
      </c>
      <c r="C188" s="130"/>
      <c r="D188" s="60">
        <v>376208854996</v>
      </c>
      <c r="E188" s="29">
        <v>218377</v>
      </c>
      <c r="F188" s="121"/>
      <c r="G188" s="122">
        <v>47.95</v>
      </c>
      <c r="H188" s="131" t="s">
        <v>414</v>
      </c>
      <c r="J188" s="168" t="s">
        <v>412</v>
      </c>
    </row>
    <row r="189" spans="1:10" x14ac:dyDescent="0.2">
      <c r="A189" s="213">
        <v>42423</v>
      </c>
      <c r="B189" s="20" t="s">
        <v>127</v>
      </c>
      <c r="C189" s="130"/>
      <c r="D189" s="60">
        <v>376262914991</v>
      </c>
      <c r="E189" s="29">
        <v>350300</v>
      </c>
      <c r="F189" s="121"/>
      <c r="G189" s="122">
        <v>52.95</v>
      </c>
      <c r="H189" s="131" t="s">
        <v>415</v>
      </c>
      <c r="J189" s="168" t="s">
        <v>412</v>
      </c>
    </row>
    <row r="190" spans="1:10" x14ac:dyDescent="0.2">
      <c r="A190" s="213">
        <v>42423</v>
      </c>
      <c r="B190" s="20" t="s">
        <v>127</v>
      </c>
      <c r="C190" s="130"/>
      <c r="D190" s="60">
        <v>376212390995</v>
      </c>
      <c r="E190" s="29">
        <v>218435</v>
      </c>
      <c r="F190" s="121"/>
      <c r="G190" s="122">
        <v>54.95</v>
      </c>
      <c r="H190" s="131" t="s">
        <v>416</v>
      </c>
      <c r="J190" s="168" t="s">
        <v>412</v>
      </c>
    </row>
    <row r="191" spans="1:10" x14ac:dyDescent="0.2">
      <c r="A191" s="213">
        <v>42423</v>
      </c>
      <c r="B191" s="20" t="s">
        <v>127</v>
      </c>
      <c r="C191" s="130"/>
      <c r="D191" s="60">
        <v>376255301990</v>
      </c>
      <c r="E191" s="29">
        <v>350073</v>
      </c>
      <c r="F191" s="121"/>
      <c r="G191" s="122">
        <v>59.95</v>
      </c>
      <c r="H191" s="131" t="s">
        <v>417</v>
      </c>
      <c r="J191" s="168" t="s">
        <v>412</v>
      </c>
    </row>
    <row r="192" spans="1:10" x14ac:dyDescent="0.2">
      <c r="A192" s="213">
        <v>42423</v>
      </c>
      <c r="B192" s="20" t="s">
        <v>127</v>
      </c>
      <c r="C192" s="130"/>
      <c r="D192" s="60">
        <v>376271144994</v>
      </c>
      <c r="E192" s="29">
        <v>351345</v>
      </c>
      <c r="F192" s="121"/>
      <c r="G192" s="122">
        <v>59.95</v>
      </c>
      <c r="H192" s="131" t="s">
        <v>418</v>
      </c>
      <c r="J192" s="168" t="s">
        <v>412</v>
      </c>
    </row>
    <row r="193" spans="1:10" x14ac:dyDescent="0.2">
      <c r="A193" s="213">
        <v>42423</v>
      </c>
      <c r="B193" s="20" t="s">
        <v>127</v>
      </c>
      <c r="C193" s="130"/>
      <c r="D193" s="60">
        <v>376267918997</v>
      </c>
      <c r="E193" s="29">
        <v>350652</v>
      </c>
      <c r="F193" s="121"/>
      <c r="G193" s="122">
        <v>79.95</v>
      </c>
      <c r="H193" s="131" t="s">
        <v>419</v>
      </c>
      <c r="J193" s="168" t="s">
        <v>412</v>
      </c>
    </row>
    <row r="194" spans="1:10" x14ac:dyDescent="0.2">
      <c r="A194" s="213">
        <v>42423</v>
      </c>
      <c r="B194" s="20" t="s">
        <v>127</v>
      </c>
      <c r="C194" s="130"/>
      <c r="D194" s="60">
        <v>376266276991</v>
      </c>
      <c r="E194" s="29">
        <v>350467</v>
      </c>
      <c r="F194" s="121"/>
      <c r="G194" s="122">
        <v>88.95</v>
      </c>
      <c r="H194" s="131" t="s">
        <v>420</v>
      </c>
      <c r="J194" s="168" t="s">
        <v>412</v>
      </c>
    </row>
    <row r="195" spans="1:10" x14ac:dyDescent="0.2">
      <c r="A195" s="213">
        <v>42423</v>
      </c>
      <c r="B195" s="20" t="s">
        <v>127</v>
      </c>
      <c r="C195" s="130"/>
      <c r="D195" s="60">
        <v>376254515996</v>
      </c>
      <c r="E195" s="29">
        <v>350039</v>
      </c>
      <c r="F195" s="121"/>
      <c r="G195" s="122">
        <v>89.95</v>
      </c>
      <c r="H195" s="131" t="s">
        <v>421</v>
      </c>
      <c r="J195" s="168" t="s">
        <v>412</v>
      </c>
    </row>
    <row r="196" spans="1:10" x14ac:dyDescent="0.2">
      <c r="A196" s="213">
        <v>42423</v>
      </c>
      <c r="B196" s="20" t="s">
        <v>127</v>
      </c>
      <c r="C196" s="130"/>
      <c r="D196" s="60">
        <v>376212185999</v>
      </c>
      <c r="E196" s="29">
        <v>81660</v>
      </c>
      <c r="F196" s="121"/>
      <c r="G196" s="122">
        <v>47.95</v>
      </c>
      <c r="H196" s="131" t="s">
        <v>422</v>
      </c>
      <c r="J196" s="168" t="s">
        <v>412</v>
      </c>
    </row>
    <row r="197" spans="1:10" x14ac:dyDescent="0.2">
      <c r="A197" s="213">
        <v>42424</v>
      </c>
      <c r="B197" s="20" t="s">
        <v>127</v>
      </c>
      <c r="C197" s="130"/>
      <c r="D197" s="60">
        <v>376258555998</v>
      </c>
      <c r="E197" s="29">
        <v>215859</v>
      </c>
      <c r="F197" s="121"/>
      <c r="G197" s="122">
        <v>47.95</v>
      </c>
      <c r="H197" s="131" t="s">
        <v>423</v>
      </c>
      <c r="J197" s="168" t="s">
        <v>412</v>
      </c>
    </row>
    <row r="198" spans="1:10" x14ac:dyDescent="0.2">
      <c r="A198" s="213">
        <v>42425</v>
      </c>
      <c r="B198" s="20" t="s">
        <v>127</v>
      </c>
      <c r="C198" s="130"/>
      <c r="D198" s="60">
        <v>37625855598</v>
      </c>
      <c r="E198" s="29">
        <v>215859</v>
      </c>
      <c r="F198" s="121"/>
      <c r="G198" s="122">
        <v>59.95</v>
      </c>
      <c r="H198" s="131" t="s">
        <v>424</v>
      </c>
      <c r="J198" s="168" t="s">
        <v>412</v>
      </c>
    </row>
    <row r="199" spans="1:10" x14ac:dyDescent="0.2">
      <c r="A199" s="213">
        <v>42423</v>
      </c>
      <c r="B199" s="20" t="s">
        <v>127</v>
      </c>
      <c r="C199" s="130"/>
      <c r="D199" s="60">
        <v>376255172995</v>
      </c>
      <c r="E199" s="29">
        <v>350075</v>
      </c>
      <c r="F199" s="121"/>
      <c r="G199" s="122">
        <v>140.15</v>
      </c>
      <c r="H199" s="131" t="s">
        <v>425</v>
      </c>
      <c r="J199" s="168" t="s">
        <v>412</v>
      </c>
    </row>
    <row r="200" spans="1:10" x14ac:dyDescent="0.2">
      <c r="A200" s="213">
        <v>42423</v>
      </c>
      <c r="B200" s="20" t="s">
        <v>127</v>
      </c>
      <c r="C200" s="130"/>
      <c r="D200" s="60">
        <v>376212489995</v>
      </c>
      <c r="E200" s="29">
        <v>213164</v>
      </c>
      <c r="F200" s="121"/>
      <c r="G200" s="122">
        <v>156.94999999999999</v>
      </c>
      <c r="H200" s="131" t="s">
        <v>426</v>
      </c>
      <c r="J200" s="168" t="s">
        <v>412</v>
      </c>
    </row>
    <row r="201" spans="1:10" x14ac:dyDescent="0.2">
      <c r="A201" s="213">
        <v>42423</v>
      </c>
      <c r="B201" s="20" t="s">
        <v>127</v>
      </c>
      <c r="C201" s="130"/>
      <c r="D201" s="60">
        <v>379255907994</v>
      </c>
      <c r="E201" s="29">
        <v>212393</v>
      </c>
      <c r="F201" s="121"/>
      <c r="G201" s="122">
        <v>88.95</v>
      </c>
      <c r="H201" s="131" t="s">
        <v>427</v>
      </c>
      <c r="J201" s="168" t="s">
        <v>412</v>
      </c>
    </row>
    <row r="202" spans="1:10" x14ac:dyDescent="0.2">
      <c r="A202" s="213">
        <v>42423</v>
      </c>
      <c r="B202" s="20" t="s">
        <v>127</v>
      </c>
      <c r="C202" s="130"/>
      <c r="D202" s="60">
        <v>376258424997</v>
      </c>
      <c r="E202" s="29">
        <v>350162</v>
      </c>
      <c r="F202" s="121"/>
      <c r="G202" s="122">
        <v>88.95</v>
      </c>
      <c r="H202" s="131" t="s">
        <v>428</v>
      </c>
      <c r="J202" s="168" t="s">
        <v>412</v>
      </c>
    </row>
    <row r="203" spans="1:10" x14ac:dyDescent="0.2">
      <c r="A203" s="213">
        <v>42423</v>
      </c>
      <c r="B203" s="20" t="s">
        <v>127</v>
      </c>
      <c r="C203" s="130"/>
      <c r="D203" s="60">
        <v>376217530991</v>
      </c>
      <c r="E203" s="29">
        <v>213001</v>
      </c>
      <c r="F203" s="121"/>
      <c r="G203" s="122">
        <v>88.95</v>
      </c>
      <c r="H203" s="131" t="s">
        <v>429</v>
      </c>
      <c r="J203" s="168" t="s">
        <v>412</v>
      </c>
    </row>
    <row r="204" spans="1:10" x14ac:dyDescent="0.2">
      <c r="A204" s="213">
        <v>42423</v>
      </c>
      <c r="B204" s="20" t="s">
        <v>127</v>
      </c>
      <c r="C204" s="130"/>
      <c r="D204" s="60">
        <v>376264315999</v>
      </c>
      <c r="E204" s="29">
        <v>350369</v>
      </c>
      <c r="F204" s="121"/>
      <c r="G204" s="122">
        <v>156.94999999999999</v>
      </c>
      <c r="H204" s="131" t="s">
        <v>430</v>
      </c>
      <c r="J204" s="168" t="s">
        <v>412</v>
      </c>
    </row>
    <row r="205" spans="1:10" x14ac:dyDescent="0.2">
      <c r="A205" s="213">
        <v>42424</v>
      </c>
      <c r="B205" s="20" t="s">
        <v>127</v>
      </c>
      <c r="C205" s="130"/>
      <c r="D205" s="60">
        <v>376258906993</v>
      </c>
      <c r="E205" s="29">
        <v>350184</v>
      </c>
      <c r="F205" s="121"/>
      <c r="G205" s="122">
        <f>4.82+84.13</f>
        <v>88.949999999999989</v>
      </c>
      <c r="H205" s="131" t="s">
        <v>431</v>
      </c>
      <c r="J205" s="168" t="s">
        <v>412</v>
      </c>
    </row>
    <row r="206" spans="1:10" x14ac:dyDescent="0.2">
      <c r="A206" s="213">
        <v>42424</v>
      </c>
      <c r="B206" s="20" t="s">
        <v>127</v>
      </c>
      <c r="C206" s="130"/>
      <c r="D206" s="60">
        <v>376258906993</v>
      </c>
      <c r="E206" s="29">
        <v>350184</v>
      </c>
      <c r="F206" s="121"/>
      <c r="G206" s="122">
        <f>4.25+55.7</f>
        <v>59.95</v>
      </c>
      <c r="H206" s="131" t="s">
        <v>432</v>
      </c>
      <c r="J206" s="168" t="s">
        <v>412</v>
      </c>
    </row>
    <row r="207" spans="1:10" x14ac:dyDescent="0.2">
      <c r="A207" s="213">
        <v>42424</v>
      </c>
      <c r="B207" s="20" t="s">
        <v>127</v>
      </c>
      <c r="C207" s="130"/>
      <c r="D207" s="60">
        <v>376258906993</v>
      </c>
      <c r="E207" s="29">
        <v>350184</v>
      </c>
      <c r="F207" s="121"/>
      <c r="G207" s="122">
        <f>5.52+99.43</f>
        <v>104.95</v>
      </c>
      <c r="H207" s="131" t="s">
        <v>433</v>
      </c>
      <c r="J207" s="168" t="s">
        <v>412</v>
      </c>
    </row>
    <row r="208" spans="1:10" x14ac:dyDescent="0.2">
      <c r="A208" s="213">
        <v>42426</v>
      </c>
      <c r="B208" s="20" t="s">
        <v>127</v>
      </c>
      <c r="C208" s="130"/>
      <c r="D208" s="60">
        <v>376270571999</v>
      </c>
      <c r="E208" s="29">
        <v>351138</v>
      </c>
      <c r="F208" s="121"/>
      <c r="G208" s="122">
        <v>116.06</v>
      </c>
      <c r="H208" s="131" t="s">
        <v>434</v>
      </c>
      <c r="J208" s="168" t="s">
        <v>435</v>
      </c>
    </row>
    <row r="209" spans="1:10" x14ac:dyDescent="0.2">
      <c r="A209" s="213">
        <v>42425</v>
      </c>
      <c r="B209" s="20" t="s">
        <v>127</v>
      </c>
      <c r="C209" s="130"/>
      <c r="D209" s="60">
        <v>376270713997</v>
      </c>
      <c r="E209" s="29">
        <v>351215</v>
      </c>
      <c r="F209" s="121"/>
      <c r="G209" s="122">
        <f>23.48+75.52</f>
        <v>99</v>
      </c>
      <c r="H209" s="131" t="s">
        <v>436</v>
      </c>
      <c r="J209" s="168" t="s">
        <v>437</v>
      </c>
    </row>
    <row r="210" spans="1:10" x14ac:dyDescent="0.2">
      <c r="A210" s="213">
        <v>42425</v>
      </c>
      <c r="B210" s="20" t="s">
        <v>127</v>
      </c>
      <c r="C210" s="130"/>
      <c r="D210" s="60">
        <v>376270713997</v>
      </c>
      <c r="E210" s="29">
        <v>351215</v>
      </c>
      <c r="F210" s="121"/>
      <c r="G210" s="122">
        <f>31.25+127.44</f>
        <v>158.69</v>
      </c>
      <c r="H210" s="131" t="s">
        <v>438</v>
      </c>
      <c r="J210" s="168" t="s">
        <v>437</v>
      </c>
    </row>
    <row r="211" spans="1:10" x14ac:dyDescent="0.2">
      <c r="A211" s="213">
        <v>42425</v>
      </c>
      <c r="B211" s="20" t="s">
        <v>127</v>
      </c>
      <c r="C211" s="130"/>
      <c r="D211" s="60">
        <v>376270713997</v>
      </c>
      <c r="E211" s="29">
        <v>351215</v>
      </c>
      <c r="F211" s="121"/>
      <c r="G211" s="122">
        <f>29.41+77.54</f>
        <v>106.95</v>
      </c>
      <c r="H211" s="131" t="s">
        <v>439</v>
      </c>
      <c r="J211" s="168" t="s">
        <v>437</v>
      </c>
    </row>
    <row r="212" spans="1:10" x14ac:dyDescent="0.2">
      <c r="A212" s="213">
        <v>42425</v>
      </c>
      <c r="B212" s="20" t="s">
        <v>127</v>
      </c>
      <c r="C212" s="130"/>
      <c r="D212" s="60">
        <v>376270713997</v>
      </c>
      <c r="E212" s="29">
        <v>351215</v>
      </c>
      <c r="F212" s="121"/>
      <c r="G212" s="122">
        <f>15.21+37.1</f>
        <v>52.31</v>
      </c>
      <c r="H212" s="131" t="s">
        <v>440</v>
      </c>
      <c r="J212" s="168" t="s">
        <v>437</v>
      </c>
    </row>
    <row r="213" spans="1:10" x14ac:dyDescent="0.2">
      <c r="A213" s="213">
        <v>42425</v>
      </c>
      <c r="B213" s="20" t="s">
        <v>127</v>
      </c>
      <c r="C213" s="130"/>
      <c r="D213" s="60">
        <v>376270713997</v>
      </c>
      <c r="E213" s="29">
        <v>351215</v>
      </c>
      <c r="F213" s="121"/>
      <c r="G213" s="122">
        <f>54.48+93.92</f>
        <v>148.4</v>
      </c>
      <c r="H213" s="131" t="s">
        <v>441</v>
      </c>
      <c r="J213" s="168" t="s">
        <v>437</v>
      </c>
    </row>
    <row r="214" spans="1:10" x14ac:dyDescent="0.2">
      <c r="A214" s="213">
        <v>42425</v>
      </c>
      <c r="B214" s="20" t="s">
        <v>127</v>
      </c>
      <c r="C214" s="130"/>
      <c r="D214" s="60">
        <v>376270713997</v>
      </c>
      <c r="E214" s="29">
        <v>351215</v>
      </c>
      <c r="F214" s="121"/>
      <c r="G214" s="122">
        <f>23.8+64.2</f>
        <v>88</v>
      </c>
      <c r="H214" s="131" t="s">
        <v>442</v>
      </c>
      <c r="J214" s="168" t="s">
        <v>437</v>
      </c>
    </row>
    <row r="215" spans="1:10" x14ac:dyDescent="0.2">
      <c r="A215" s="213">
        <v>42422</v>
      </c>
      <c r="B215" s="20" t="s">
        <v>127</v>
      </c>
      <c r="C215" s="130"/>
      <c r="D215" s="60">
        <v>376270713997</v>
      </c>
      <c r="E215" s="29">
        <v>351215</v>
      </c>
      <c r="F215" s="121"/>
      <c r="G215" s="122">
        <f>28.22+62.5</f>
        <v>90.72</v>
      </c>
      <c r="H215" s="131" t="s">
        <v>443</v>
      </c>
      <c r="J215" s="168" t="s">
        <v>437</v>
      </c>
    </row>
    <row r="216" spans="1:10" x14ac:dyDescent="0.2">
      <c r="A216" s="213">
        <v>42422</v>
      </c>
      <c r="B216" s="20" t="s">
        <v>127</v>
      </c>
      <c r="C216" s="130"/>
      <c r="D216" s="60">
        <v>376269450999</v>
      </c>
      <c r="E216" s="29">
        <v>350960</v>
      </c>
      <c r="F216" s="121"/>
      <c r="G216" s="122">
        <v>598</v>
      </c>
      <c r="H216" s="131" t="s">
        <v>444</v>
      </c>
      <c r="J216" s="168" t="s">
        <v>437</v>
      </c>
    </row>
    <row r="217" spans="1:10" x14ac:dyDescent="0.2">
      <c r="A217" s="213">
        <v>42422</v>
      </c>
      <c r="B217" s="20" t="s">
        <v>127</v>
      </c>
      <c r="C217" s="130"/>
      <c r="D217" s="60">
        <v>376271123998</v>
      </c>
      <c r="E217" s="29">
        <v>351306</v>
      </c>
      <c r="F217" s="121"/>
      <c r="G217" s="122">
        <v>261.89999999999998</v>
      </c>
      <c r="H217" s="131" t="s">
        <v>445</v>
      </c>
      <c r="J217" s="168" t="s">
        <v>437</v>
      </c>
    </row>
    <row r="218" spans="1:10" x14ac:dyDescent="0.2">
      <c r="A218" s="213">
        <v>42425</v>
      </c>
      <c r="B218" s="20" t="s">
        <v>127</v>
      </c>
      <c r="C218" s="130"/>
      <c r="D218" s="60">
        <v>376270875994</v>
      </c>
      <c r="E218" s="29">
        <v>351187</v>
      </c>
      <c r="F218" s="121"/>
      <c r="G218" s="122">
        <v>245.9</v>
      </c>
      <c r="H218" s="131" t="s">
        <v>446</v>
      </c>
      <c r="J218" s="168" t="s">
        <v>437</v>
      </c>
    </row>
    <row r="219" spans="1:10" x14ac:dyDescent="0.2">
      <c r="A219" s="213">
        <v>42424</v>
      </c>
      <c r="B219" s="20" t="s">
        <v>127</v>
      </c>
      <c r="C219" s="130"/>
      <c r="D219" s="60">
        <v>37626695993</v>
      </c>
      <c r="E219" s="29">
        <v>350536</v>
      </c>
      <c r="F219" s="121"/>
      <c r="G219" s="122">
        <f>24.29+71.17</f>
        <v>95.460000000000008</v>
      </c>
      <c r="H219" s="131" t="s">
        <v>447</v>
      </c>
      <c r="J219" s="168" t="s">
        <v>437</v>
      </c>
    </row>
    <row r="220" spans="1:10" x14ac:dyDescent="0.2">
      <c r="A220" s="213">
        <v>42424</v>
      </c>
      <c r="B220" s="20" t="s">
        <v>127</v>
      </c>
      <c r="C220" s="130"/>
      <c r="D220" s="60">
        <v>37626695993</v>
      </c>
      <c r="E220" s="29">
        <v>350536</v>
      </c>
      <c r="F220" s="121"/>
      <c r="G220" s="122">
        <f>32.36+30.19</f>
        <v>62.55</v>
      </c>
      <c r="H220" s="131" t="s">
        <v>448</v>
      </c>
      <c r="J220" s="168" t="s">
        <v>437</v>
      </c>
    </row>
    <row r="221" spans="1:10" x14ac:dyDescent="0.2">
      <c r="A221" s="213">
        <v>42424</v>
      </c>
      <c r="B221" s="20" t="s">
        <v>127</v>
      </c>
      <c r="C221" s="130"/>
      <c r="D221" s="60">
        <v>37626695993</v>
      </c>
      <c r="E221" s="29">
        <v>350536</v>
      </c>
      <c r="F221" s="121"/>
      <c r="G221" s="122">
        <f>9.99+24.53</f>
        <v>34.520000000000003</v>
      </c>
      <c r="H221" s="131" t="s">
        <v>449</v>
      </c>
      <c r="J221" s="168" t="s">
        <v>437</v>
      </c>
    </row>
    <row r="222" spans="1:10" x14ac:dyDescent="0.2">
      <c r="A222" s="213">
        <v>42425</v>
      </c>
      <c r="B222" s="20" t="s">
        <v>127</v>
      </c>
      <c r="C222" s="130"/>
      <c r="D222" s="60">
        <v>376255822995</v>
      </c>
      <c r="E222" s="29">
        <v>350107</v>
      </c>
      <c r="F222" s="121"/>
      <c r="G222" s="122">
        <f>7.31+83.6</f>
        <v>90.91</v>
      </c>
      <c r="H222" s="131" t="s">
        <v>450</v>
      </c>
      <c r="J222" s="168" t="s">
        <v>437</v>
      </c>
    </row>
    <row r="223" spans="1:10" x14ac:dyDescent="0.2">
      <c r="A223" s="213">
        <v>42425</v>
      </c>
      <c r="B223" s="20" t="s">
        <v>127</v>
      </c>
      <c r="C223" s="130"/>
      <c r="D223" s="60">
        <v>376255822995</v>
      </c>
      <c r="E223" s="29">
        <v>350107</v>
      </c>
      <c r="F223" s="121"/>
      <c r="G223" s="122">
        <f>3.52+30.44</f>
        <v>33.96</v>
      </c>
      <c r="H223" s="131" t="s">
        <v>451</v>
      </c>
      <c r="J223" s="168" t="s">
        <v>437</v>
      </c>
    </row>
    <row r="224" spans="1:10" x14ac:dyDescent="0.2">
      <c r="A224" s="119" t="s">
        <v>1934</v>
      </c>
      <c r="B224" s="115" t="s">
        <v>0</v>
      </c>
      <c r="D224" s="121" t="s">
        <v>452</v>
      </c>
      <c r="E224" s="29">
        <v>226215</v>
      </c>
      <c r="F224" s="121" t="s">
        <v>453</v>
      </c>
      <c r="G224" s="122">
        <v>172.45</v>
      </c>
      <c r="J224" s="169" t="s">
        <v>454</v>
      </c>
    </row>
    <row r="225" spans="1:10" x14ac:dyDescent="0.2">
      <c r="A225" s="119" t="s">
        <v>1934</v>
      </c>
      <c r="B225" s="115" t="s">
        <v>0</v>
      </c>
      <c r="D225" s="121" t="s">
        <v>455</v>
      </c>
      <c r="E225" s="29">
        <v>218380</v>
      </c>
      <c r="F225" s="121" t="s">
        <v>456</v>
      </c>
      <c r="G225" s="122">
        <v>52.95</v>
      </c>
      <c r="J225" s="169" t="s">
        <v>454</v>
      </c>
    </row>
    <row r="226" spans="1:10" x14ac:dyDescent="0.2">
      <c r="A226" s="119" t="s">
        <v>254</v>
      </c>
      <c r="B226" s="20" t="s">
        <v>0</v>
      </c>
      <c r="C226" s="130"/>
      <c r="D226" s="60">
        <v>376225331994</v>
      </c>
      <c r="E226" s="29">
        <v>111</v>
      </c>
      <c r="F226" s="121" t="s">
        <v>457</v>
      </c>
      <c r="G226" s="122">
        <v>318.8</v>
      </c>
      <c r="H226" s="131"/>
      <c r="J226" s="169" t="s">
        <v>6</v>
      </c>
    </row>
    <row r="227" spans="1:10" x14ac:dyDescent="0.2">
      <c r="A227" s="119" t="s">
        <v>254</v>
      </c>
      <c r="B227" s="20" t="s">
        <v>0</v>
      </c>
      <c r="C227" s="130"/>
      <c r="D227" s="60">
        <v>376267276990</v>
      </c>
      <c r="E227" s="29">
        <v>350587</v>
      </c>
      <c r="F227" s="121" t="s">
        <v>40</v>
      </c>
      <c r="G227" s="122">
        <v>72.680000000000007</v>
      </c>
      <c r="H227" s="131"/>
      <c r="J227" s="169" t="s">
        <v>6</v>
      </c>
    </row>
    <row r="228" spans="1:10" x14ac:dyDescent="0.2">
      <c r="A228" s="119" t="s">
        <v>254</v>
      </c>
      <c r="B228" s="20" t="s">
        <v>0</v>
      </c>
      <c r="C228" s="130"/>
      <c r="D228" s="60">
        <v>376228579995</v>
      </c>
      <c r="E228" s="113">
        <v>211725</v>
      </c>
      <c r="F228" s="121" t="s">
        <v>41</v>
      </c>
      <c r="G228" s="122">
        <v>56.4</v>
      </c>
      <c r="H228" s="131"/>
      <c r="J228" s="169" t="s">
        <v>42</v>
      </c>
    </row>
    <row r="229" spans="1:10" x14ac:dyDescent="0.2">
      <c r="A229" s="103" t="s">
        <v>253</v>
      </c>
      <c r="B229" s="20" t="s">
        <v>0</v>
      </c>
      <c r="C229" s="130"/>
      <c r="D229" s="60">
        <v>376268288994</v>
      </c>
      <c r="E229" s="113">
        <v>3508017</v>
      </c>
      <c r="F229" s="120" t="s">
        <v>36</v>
      </c>
      <c r="G229" s="122">
        <v>104.95</v>
      </c>
      <c r="H229" s="131"/>
      <c r="J229" s="123" t="s">
        <v>6</v>
      </c>
    </row>
    <row r="230" spans="1:10" x14ac:dyDescent="0.2">
      <c r="A230" s="103" t="s">
        <v>253</v>
      </c>
      <c r="B230" s="20" t="s">
        <v>0</v>
      </c>
      <c r="C230" s="130"/>
      <c r="D230" s="60">
        <v>376256613997</v>
      </c>
      <c r="E230" s="113">
        <v>224820</v>
      </c>
      <c r="F230" s="120" t="s">
        <v>37</v>
      </c>
      <c r="G230" s="122">
        <v>104.95</v>
      </c>
      <c r="H230" s="131"/>
      <c r="J230" s="123" t="s">
        <v>6</v>
      </c>
    </row>
    <row r="231" spans="1:10" x14ac:dyDescent="0.2">
      <c r="A231" s="103" t="s">
        <v>253</v>
      </c>
      <c r="B231" s="20" t="s">
        <v>0</v>
      </c>
      <c r="C231" s="130"/>
      <c r="D231" s="60">
        <v>376212826998</v>
      </c>
      <c r="E231" s="113">
        <v>201444</v>
      </c>
      <c r="F231" s="120" t="s">
        <v>38</v>
      </c>
      <c r="G231" s="122">
        <v>96.28</v>
      </c>
      <c r="H231" s="131"/>
      <c r="J231" s="123" t="s">
        <v>6</v>
      </c>
    </row>
    <row r="232" spans="1:10" x14ac:dyDescent="0.2">
      <c r="A232" s="103" t="s">
        <v>253</v>
      </c>
      <c r="B232" s="20" t="s">
        <v>0</v>
      </c>
      <c r="C232" s="130"/>
      <c r="D232" s="60">
        <v>376271724993</v>
      </c>
      <c r="E232" s="113">
        <v>351650</v>
      </c>
      <c r="F232" s="120" t="s">
        <v>39</v>
      </c>
      <c r="G232" s="122">
        <v>78.95</v>
      </c>
      <c r="H232" s="131"/>
      <c r="J232" s="123" t="s">
        <v>6</v>
      </c>
    </row>
    <row r="233" spans="1:10" s="203" customFormat="1" x14ac:dyDescent="0.2">
      <c r="A233" s="221" t="s">
        <v>253</v>
      </c>
      <c r="B233" s="216" t="s">
        <v>0</v>
      </c>
      <c r="C233" s="203" t="s">
        <v>209</v>
      </c>
      <c r="D233" s="59">
        <v>376265470991</v>
      </c>
      <c r="E233" s="68">
        <v>350431</v>
      </c>
      <c r="F233" s="217" t="s">
        <v>458</v>
      </c>
      <c r="G233" s="218">
        <v>64.900000000000006</v>
      </c>
      <c r="H233" s="223"/>
      <c r="J233" s="220" t="s">
        <v>246</v>
      </c>
    </row>
    <row r="234" spans="1:10" s="203" customFormat="1" x14ac:dyDescent="0.2">
      <c r="A234" s="221" t="s">
        <v>253</v>
      </c>
      <c r="B234" s="216" t="s">
        <v>0</v>
      </c>
      <c r="C234" s="203" t="s">
        <v>209</v>
      </c>
      <c r="D234" s="59">
        <v>376269406991</v>
      </c>
      <c r="E234" s="68">
        <v>891</v>
      </c>
      <c r="F234" s="217" t="s">
        <v>459</v>
      </c>
      <c r="G234" s="218">
        <v>46.7</v>
      </c>
      <c r="H234" s="223"/>
      <c r="J234" s="220" t="s">
        <v>246</v>
      </c>
    </row>
    <row r="235" spans="1:10" s="203" customFormat="1" x14ac:dyDescent="0.2">
      <c r="A235" s="221" t="s">
        <v>253</v>
      </c>
      <c r="B235" s="216" t="s">
        <v>0</v>
      </c>
      <c r="C235" s="203" t="s">
        <v>209</v>
      </c>
      <c r="D235" s="59">
        <v>376265837991</v>
      </c>
      <c r="E235" s="68">
        <v>350442</v>
      </c>
      <c r="F235" s="217" t="s">
        <v>460</v>
      </c>
      <c r="G235" s="218">
        <v>42.95</v>
      </c>
      <c r="H235" s="223"/>
      <c r="J235" s="220" t="s">
        <v>246</v>
      </c>
    </row>
    <row r="236" spans="1:10" x14ac:dyDescent="0.2">
      <c r="A236" s="119" t="s">
        <v>1935</v>
      </c>
      <c r="B236" s="20" t="s">
        <v>0</v>
      </c>
      <c r="C236" s="130"/>
      <c r="D236" s="60">
        <v>376269683995</v>
      </c>
      <c r="E236" s="113">
        <v>350852</v>
      </c>
      <c r="F236" s="121" t="s">
        <v>43</v>
      </c>
      <c r="G236" s="122">
        <v>59.96</v>
      </c>
      <c r="H236" s="131"/>
      <c r="J236" s="140" t="s">
        <v>6</v>
      </c>
    </row>
    <row r="237" spans="1:10" s="203" customFormat="1" x14ac:dyDescent="0.2">
      <c r="A237" s="221" t="s">
        <v>1935</v>
      </c>
      <c r="B237" s="216" t="s">
        <v>0</v>
      </c>
      <c r="C237" s="203" t="s">
        <v>209</v>
      </c>
      <c r="D237" s="230" t="s">
        <v>461</v>
      </c>
      <c r="E237" s="68">
        <v>351456</v>
      </c>
      <c r="F237" s="217" t="s">
        <v>462</v>
      </c>
      <c r="G237" s="218">
        <v>56.07</v>
      </c>
      <c r="H237" s="223"/>
      <c r="J237" s="231" t="s">
        <v>246</v>
      </c>
    </row>
    <row r="238" spans="1:10" s="203" customFormat="1" x14ac:dyDescent="0.2">
      <c r="A238" s="221" t="s">
        <v>1936</v>
      </c>
      <c r="B238" s="216" t="s">
        <v>0</v>
      </c>
      <c r="C238" s="203" t="s">
        <v>209</v>
      </c>
      <c r="D238" s="59">
        <v>376271179990</v>
      </c>
      <c r="E238" s="68">
        <v>217848</v>
      </c>
      <c r="F238" s="217" t="s">
        <v>463</v>
      </c>
      <c r="G238" s="232">
        <v>233.9</v>
      </c>
      <c r="H238" s="223"/>
      <c r="J238" s="231" t="s">
        <v>246</v>
      </c>
    </row>
    <row r="239" spans="1:10" s="203" customFormat="1" x14ac:dyDescent="0.2">
      <c r="A239" s="221" t="s">
        <v>1936</v>
      </c>
      <c r="B239" s="216" t="s">
        <v>0</v>
      </c>
      <c r="C239" s="203" t="s">
        <v>209</v>
      </c>
      <c r="D239" s="59">
        <v>376267876997</v>
      </c>
      <c r="E239" s="68">
        <v>350646</v>
      </c>
      <c r="F239" s="217" t="s">
        <v>464</v>
      </c>
      <c r="G239" s="232">
        <v>93.4</v>
      </c>
      <c r="H239" s="223"/>
      <c r="J239" s="231" t="s">
        <v>246</v>
      </c>
    </row>
    <row r="240" spans="1:10" s="203" customFormat="1" x14ac:dyDescent="0.2">
      <c r="A240" s="221" t="s">
        <v>1936</v>
      </c>
      <c r="B240" s="216" t="s">
        <v>0</v>
      </c>
      <c r="C240" s="203" t="s">
        <v>209</v>
      </c>
      <c r="D240" s="59">
        <v>376241615990</v>
      </c>
      <c r="E240" s="68">
        <v>226682</v>
      </c>
      <c r="F240" s="217" t="s">
        <v>465</v>
      </c>
      <c r="G240" s="232">
        <v>113.6</v>
      </c>
      <c r="H240" s="223"/>
      <c r="J240" s="231" t="s">
        <v>246</v>
      </c>
    </row>
    <row r="241" spans="1:10" s="203" customFormat="1" x14ac:dyDescent="0.2">
      <c r="A241" s="221" t="s">
        <v>1936</v>
      </c>
      <c r="B241" s="216" t="s">
        <v>0</v>
      </c>
      <c r="C241" s="203" t="s">
        <v>209</v>
      </c>
      <c r="D241" s="59">
        <v>376272159991</v>
      </c>
      <c r="E241" s="68">
        <v>351542</v>
      </c>
      <c r="F241" s="217" t="s">
        <v>466</v>
      </c>
      <c r="G241" s="218">
        <v>104.36</v>
      </c>
      <c r="H241" s="223"/>
      <c r="J241" s="231" t="s">
        <v>246</v>
      </c>
    </row>
    <row r="242" spans="1:10" s="203" customFormat="1" x14ac:dyDescent="0.2">
      <c r="A242" s="221" t="s">
        <v>1936</v>
      </c>
      <c r="B242" s="216" t="s">
        <v>0</v>
      </c>
      <c r="C242" s="203" t="s">
        <v>209</v>
      </c>
      <c r="D242" s="59">
        <v>376271144994</v>
      </c>
      <c r="E242" s="68">
        <v>351345</v>
      </c>
      <c r="F242" s="217" t="s">
        <v>467</v>
      </c>
      <c r="G242" s="232">
        <v>86.59</v>
      </c>
      <c r="H242" s="223"/>
      <c r="J242" s="231" t="s">
        <v>246</v>
      </c>
    </row>
    <row r="243" spans="1:10" s="203" customFormat="1" x14ac:dyDescent="0.2">
      <c r="A243" s="221" t="s">
        <v>1936</v>
      </c>
      <c r="B243" s="216" t="s">
        <v>0</v>
      </c>
      <c r="C243" s="203" t="s">
        <v>209</v>
      </c>
      <c r="D243" s="59">
        <v>376271874996</v>
      </c>
      <c r="E243" s="68">
        <v>351688</v>
      </c>
      <c r="F243" s="217" t="s">
        <v>468</v>
      </c>
      <c r="G243" s="232">
        <v>86.28</v>
      </c>
      <c r="H243" s="223"/>
      <c r="J243" s="231" t="s">
        <v>246</v>
      </c>
    </row>
    <row r="244" spans="1:10" s="203" customFormat="1" x14ac:dyDescent="0.2">
      <c r="A244" s="221" t="s">
        <v>1936</v>
      </c>
      <c r="B244" s="216" t="s">
        <v>0</v>
      </c>
      <c r="C244" s="203" t="s">
        <v>209</v>
      </c>
      <c r="D244" s="59">
        <v>376272175997</v>
      </c>
      <c r="E244" s="68">
        <v>351821</v>
      </c>
      <c r="F244" s="217" t="s">
        <v>469</v>
      </c>
      <c r="G244" s="232">
        <v>81.400000000000006</v>
      </c>
      <c r="H244" s="223"/>
      <c r="J244" s="231" t="s">
        <v>246</v>
      </c>
    </row>
    <row r="245" spans="1:10" s="203" customFormat="1" x14ac:dyDescent="0.2">
      <c r="A245" s="221" t="s">
        <v>1936</v>
      </c>
      <c r="B245" s="216" t="s">
        <v>0</v>
      </c>
      <c r="C245" s="203" t="s">
        <v>209</v>
      </c>
      <c r="D245" s="59">
        <v>376272095997</v>
      </c>
      <c r="E245" s="68">
        <v>351824</v>
      </c>
      <c r="F245" s="217" t="s">
        <v>470</v>
      </c>
      <c r="G245" s="232">
        <v>76.900000000000006</v>
      </c>
      <c r="H245" s="223"/>
      <c r="J245" s="231" t="s">
        <v>246</v>
      </c>
    </row>
    <row r="246" spans="1:10" s="203" customFormat="1" x14ac:dyDescent="0.2">
      <c r="A246" s="221" t="s">
        <v>1936</v>
      </c>
      <c r="B246" s="216" t="s">
        <v>0</v>
      </c>
      <c r="C246" s="203" t="s">
        <v>209</v>
      </c>
      <c r="D246" s="59">
        <v>376243544990</v>
      </c>
      <c r="E246" s="68">
        <v>220992</v>
      </c>
      <c r="F246" s="217" t="s">
        <v>471</v>
      </c>
      <c r="G246" s="218">
        <v>67.36</v>
      </c>
      <c r="H246" s="223"/>
      <c r="J246" s="231" t="s">
        <v>246</v>
      </c>
    </row>
    <row r="247" spans="1:10" s="203" customFormat="1" x14ac:dyDescent="0.2">
      <c r="A247" s="221" t="s">
        <v>1936</v>
      </c>
      <c r="B247" s="216" t="s">
        <v>0</v>
      </c>
      <c r="C247" s="203" t="s">
        <v>209</v>
      </c>
      <c r="D247" s="59">
        <v>376255263992</v>
      </c>
      <c r="E247" s="68">
        <v>217812</v>
      </c>
      <c r="F247" s="217" t="s">
        <v>472</v>
      </c>
      <c r="G247" s="218">
        <v>45.83</v>
      </c>
      <c r="H247" s="223"/>
      <c r="J247" s="231" t="s">
        <v>246</v>
      </c>
    </row>
    <row r="248" spans="1:10" s="203" customFormat="1" x14ac:dyDescent="0.2">
      <c r="A248" s="221" t="s">
        <v>1936</v>
      </c>
      <c r="B248" s="216" t="s">
        <v>0</v>
      </c>
      <c r="C248" s="203" t="s">
        <v>209</v>
      </c>
      <c r="D248" s="59">
        <v>376269195990</v>
      </c>
      <c r="E248" s="68">
        <v>350923</v>
      </c>
      <c r="F248" s="217" t="s">
        <v>473</v>
      </c>
      <c r="G248" s="218">
        <v>35.68</v>
      </c>
      <c r="H248" s="223"/>
      <c r="J248" s="231" t="s">
        <v>246</v>
      </c>
    </row>
    <row r="249" spans="1:10" s="186" customFormat="1" x14ac:dyDescent="0.2">
      <c r="A249" s="185" t="s">
        <v>1937</v>
      </c>
      <c r="B249" s="233" t="s">
        <v>0</v>
      </c>
      <c r="C249" s="234"/>
      <c r="D249" s="235">
        <v>376272134994</v>
      </c>
      <c r="E249" s="245">
        <v>351930</v>
      </c>
      <c r="F249" s="187" t="s">
        <v>474</v>
      </c>
      <c r="G249" s="225">
        <f>197.9-98.95</f>
        <v>98.95</v>
      </c>
      <c r="H249" s="189"/>
      <c r="J249" s="249" t="s">
        <v>475</v>
      </c>
    </row>
    <row r="250" spans="1:10" s="239" customFormat="1" x14ac:dyDescent="0.2">
      <c r="A250" s="236" t="s">
        <v>1937</v>
      </c>
      <c r="B250" s="237" t="s">
        <v>0</v>
      </c>
      <c r="C250" s="239" t="s">
        <v>476</v>
      </c>
      <c r="D250" s="238">
        <v>376210792994</v>
      </c>
      <c r="E250" s="246">
        <v>222966</v>
      </c>
      <c r="F250" s="240" t="s">
        <v>477</v>
      </c>
      <c r="G250" s="241">
        <v>60.95</v>
      </c>
      <c r="H250" s="242"/>
      <c r="J250" s="248" t="s">
        <v>246</v>
      </c>
    </row>
    <row r="251" spans="1:10" x14ac:dyDescent="0.2">
      <c r="A251" s="119" t="s">
        <v>1937</v>
      </c>
      <c r="B251" s="115" t="s">
        <v>0</v>
      </c>
      <c r="C251" s="19"/>
      <c r="D251" s="60">
        <v>376225331994</v>
      </c>
      <c r="E251" s="113">
        <v>111</v>
      </c>
      <c r="F251" s="121" t="s">
        <v>457</v>
      </c>
      <c r="G251" s="122">
        <v>318.8</v>
      </c>
      <c r="H251" s="131"/>
      <c r="J251" s="249" t="s">
        <v>16</v>
      </c>
    </row>
    <row r="252" spans="1:10" s="203" customFormat="1" x14ac:dyDescent="0.2">
      <c r="A252" s="221" t="s">
        <v>1938</v>
      </c>
      <c r="B252" s="216" t="s">
        <v>0</v>
      </c>
      <c r="C252" s="203" t="s">
        <v>209</v>
      </c>
      <c r="D252" s="59">
        <v>376265267991</v>
      </c>
      <c r="E252" s="68">
        <v>350416</v>
      </c>
      <c r="F252" s="217" t="s">
        <v>478</v>
      </c>
      <c r="G252" s="218">
        <v>209.9</v>
      </c>
      <c r="H252" s="223"/>
      <c r="J252" s="248" t="s">
        <v>246</v>
      </c>
    </row>
    <row r="253" spans="1:10" s="203" customFormat="1" x14ac:dyDescent="0.2">
      <c r="A253" s="221" t="s">
        <v>1938</v>
      </c>
      <c r="B253" s="216" t="s">
        <v>0</v>
      </c>
      <c r="C253" s="203" t="s">
        <v>209</v>
      </c>
      <c r="D253" s="59">
        <v>376211115997</v>
      </c>
      <c r="E253" s="68">
        <v>1235</v>
      </c>
      <c r="F253" s="217" t="s">
        <v>480</v>
      </c>
      <c r="G253" s="218">
        <v>113.95</v>
      </c>
      <c r="H253" s="223"/>
      <c r="J253" s="248" t="s">
        <v>246</v>
      </c>
    </row>
    <row r="254" spans="1:10" s="203" customFormat="1" x14ac:dyDescent="0.2">
      <c r="A254" s="221" t="s">
        <v>1938</v>
      </c>
      <c r="B254" s="216" t="s">
        <v>0</v>
      </c>
      <c r="C254" s="203" t="s">
        <v>209</v>
      </c>
      <c r="D254" s="59">
        <v>376211807999</v>
      </c>
      <c r="E254" s="68">
        <v>215226</v>
      </c>
      <c r="F254" s="217" t="s">
        <v>481</v>
      </c>
      <c r="G254" s="218">
        <v>104.95</v>
      </c>
      <c r="H254" s="223"/>
      <c r="J254" s="248" t="s">
        <v>246</v>
      </c>
    </row>
    <row r="255" spans="1:10" x14ac:dyDescent="0.2">
      <c r="A255" s="119" t="s">
        <v>1938</v>
      </c>
      <c r="B255" s="115" t="s">
        <v>0</v>
      </c>
      <c r="C255" s="19"/>
      <c r="D255" s="60">
        <v>376272134994</v>
      </c>
      <c r="E255" s="113">
        <v>351930</v>
      </c>
      <c r="F255" s="121" t="s">
        <v>474</v>
      </c>
      <c r="G255" s="122">
        <v>98.95</v>
      </c>
      <c r="H255" s="131"/>
      <c r="J255" s="249" t="s">
        <v>482</v>
      </c>
    </row>
    <row r="256" spans="1:10" s="239" customFormat="1" x14ac:dyDescent="0.2">
      <c r="A256" s="236" t="s">
        <v>1938</v>
      </c>
      <c r="B256" s="237" t="s">
        <v>0</v>
      </c>
      <c r="C256" s="239" t="s">
        <v>483</v>
      </c>
      <c r="D256" s="238">
        <v>376210792994</v>
      </c>
      <c r="E256" s="246">
        <v>222966</v>
      </c>
      <c r="F256" s="240" t="s">
        <v>477</v>
      </c>
      <c r="G256" s="241">
        <v>60.95</v>
      </c>
      <c r="H256" s="242"/>
      <c r="J256" s="248" t="s">
        <v>246</v>
      </c>
    </row>
    <row r="257" spans="1:34" x14ac:dyDescent="0.2">
      <c r="A257" s="213">
        <v>42432</v>
      </c>
      <c r="B257" s="20" t="s">
        <v>127</v>
      </c>
      <c r="C257" s="130"/>
      <c r="D257" s="60">
        <v>3762353455996</v>
      </c>
      <c r="E257" s="29">
        <v>1005</v>
      </c>
      <c r="F257" s="121"/>
      <c r="G257" s="122">
        <f>7.09+64.24</f>
        <v>71.33</v>
      </c>
      <c r="H257" s="131" t="s">
        <v>484</v>
      </c>
      <c r="J257" s="124" t="s">
        <v>485</v>
      </c>
    </row>
    <row r="258" spans="1:34" x14ac:dyDescent="0.2">
      <c r="A258" s="213">
        <v>42432</v>
      </c>
      <c r="B258" s="20" t="s">
        <v>127</v>
      </c>
      <c r="C258" s="130"/>
      <c r="D258" s="60">
        <v>3762353455996</v>
      </c>
      <c r="E258" s="29">
        <v>1005</v>
      </c>
      <c r="F258" s="121"/>
      <c r="G258" s="122">
        <f>3.14+28.55</f>
        <v>31.69</v>
      </c>
      <c r="H258" s="131" t="s">
        <v>484</v>
      </c>
      <c r="J258" s="124" t="s">
        <v>485</v>
      </c>
    </row>
    <row r="259" spans="1:34" x14ac:dyDescent="0.2">
      <c r="A259" s="213">
        <v>42431</v>
      </c>
      <c r="B259" s="20" t="s">
        <v>127</v>
      </c>
      <c r="C259" s="130"/>
      <c r="D259" s="60">
        <v>376211768993</v>
      </c>
      <c r="E259" s="29">
        <v>101209</v>
      </c>
      <c r="F259" s="121"/>
      <c r="G259" s="122">
        <f>2.91+45.04</f>
        <v>47.95</v>
      </c>
      <c r="H259" s="131" t="s">
        <v>486</v>
      </c>
      <c r="J259" s="168" t="s">
        <v>487</v>
      </c>
    </row>
    <row r="260" spans="1:34" x14ac:dyDescent="0.2">
      <c r="A260" s="213">
        <v>42444</v>
      </c>
      <c r="B260" s="20" t="s">
        <v>127</v>
      </c>
      <c r="C260" s="130"/>
      <c r="D260" s="60">
        <v>3762112768993</v>
      </c>
      <c r="E260" s="113">
        <v>101209</v>
      </c>
      <c r="F260" s="121"/>
      <c r="G260" s="122">
        <v>47.95</v>
      </c>
      <c r="H260" s="134" t="s">
        <v>488</v>
      </c>
      <c r="J260" s="124" t="s">
        <v>489</v>
      </c>
      <c r="K260" s="124"/>
      <c r="L260" s="124"/>
      <c r="M260" s="124"/>
    </row>
    <row r="261" spans="1:34" x14ac:dyDescent="0.2">
      <c r="A261" s="213">
        <v>42480</v>
      </c>
      <c r="B261" s="115" t="s">
        <v>127</v>
      </c>
      <c r="C261" s="130"/>
      <c r="D261" s="60">
        <v>376238825990</v>
      </c>
      <c r="E261" s="113">
        <v>201228</v>
      </c>
      <c r="F261" s="121"/>
      <c r="G261" s="122">
        <v>52</v>
      </c>
      <c r="H261" s="131" t="s">
        <v>490</v>
      </c>
      <c r="J261" s="142" t="s">
        <v>485</v>
      </c>
    </row>
    <row r="262" spans="1:34" x14ac:dyDescent="0.2">
      <c r="A262" s="213">
        <v>42461</v>
      </c>
      <c r="B262" s="20" t="s">
        <v>127</v>
      </c>
      <c r="C262" s="130"/>
      <c r="D262" s="60">
        <v>376215549993</v>
      </c>
      <c r="E262" s="113">
        <v>212506</v>
      </c>
      <c r="F262" s="121"/>
      <c r="G262" s="122">
        <f>10+51.9</f>
        <v>61.9</v>
      </c>
      <c r="H262" s="134" t="s">
        <v>491</v>
      </c>
      <c r="J262" s="124" t="s">
        <v>485</v>
      </c>
    </row>
    <row r="263" spans="1:34" x14ac:dyDescent="0.2">
      <c r="A263" s="213">
        <v>42460</v>
      </c>
      <c r="B263" s="20" t="s">
        <v>127</v>
      </c>
      <c r="C263" s="130"/>
      <c r="D263" s="60">
        <v>376215549993</v>
      </c>
      <c r="E263" s="113">
        <v>212506</v>
      </c>
      <c r="F263" s="121"/>
      <c r="G263" s="122">
        <f>7.92+83.98</f>
        <v>91.9</v>
      </c>
      <c r="H263" s="134" t="s">
        <v>492</v>
      </c>
      <c r="J263" s="124" t="s">
        <v>485</v>
      </c>
    </row>
    <row r="264" spans="1:34" s="19" customFormat="1" x14ac:dyDescent="0.2">
      <c r="A264" s="213">
        <v>42460</v>
      </c>
      <c r="B264" s="20" t="s">
        <v>127</v>
      </c>
      <c r="C264" s="130"/>
      <c r="D264" s="60">
        <v>376215549993</v>
      </c>
      <c r="E264" s="113">
        <v>212506</v>
      </c>
      <c r="F264" s="121"/>
      <c r="G264" s="141">
        <f>4.88+57.07</f>
        <v>61.95</v>
      </c>
      <c r="H264" s="134" t="s">
        <v>493</v>
      </c>
      <c r="I264" s="117"/>
      <c r="J264" s="124" t="s">
        <v>485</v>
      </c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</row>
    <row r="265" spans="1:34" s="19" customFormat="1" x14ac:dyDescent="0.2">
      <c r="A265" s="213">
        <v>42459</v>
      </c>
      <c r="B265" s="20" t="s">
        <v>127</v>
      </c>
      <c r="C265" s="130"/>
      <c r="D265" s="60">
        <v>376215549993</v>
      </c>
      <c r="E265" s="113">
        <v>212506</v>
      </c>
      <c r="F265" s="121"/>
      <c r="G265" s="141">
        <f>12.46+76.49</f>
        <v>88.949999999999989</v>
      </c>
      <c r="H265" s="134" t="s">
        <v>494</v>
      </c>
      <c r="I265" s="117"/>
      <c r="J265" s="124" t="s">
        <v>485</v>
      </c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</row>
    <row r="266" spans="1:34" s="19" customFormat="1" x14ac:dyDescent="0.2">
      <c r="A266" s="213">
        <v>42464</v>
      </c>
      <c r="B266" s="115" t="s">
        <v>127</v>
      </c>
      <c r="C266" s="130"/>
      <c r="D266" s="60">
        <v>376215549993</v>
      </c>
      <c r="E266" s="113">
        <v>212506</v>
      </c>
      <c r="F266" s="121"/>
      <c r="G266" s="122">
        <f>15.01+39.94</f>
        <v>54.949999999999996</v>
      </c>
      <c r="H266" s="131" t="s">
        <v>495</v>
      </c>
      <c r="I266" s="117"/>
      <c r="J266" s="142" t="s">
        <v>485</v>
      </c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</row>
    <row r="267" spans="1:34" s="19" customFormat="1" x14ac:dyDescent="0.2">
      <c r="A267" s="213">
        <v>42465</v>
      </c>
      <c r="B267" s="115" t="s">
        <v>127</v>
      </c>
      <c r="C267" s="130"/>
      <c r="D267" s="60">
        <v>376215549993</v>
      </c>
      <c r="E267" s="113">
        <v>212506</v>
      </c>
      <c r="F267" s="121"/>
      <c r="G267" s="122">
        <f>5.4+62.5</f>
        <v>67.900000000000006</v>
      </c>
      <c r="H267" s="131" t="s">
        <v>496</v>
      </c>
      <c r="I267" s="117"/>
      <c r="J267" s="142" t="s">
        <v>485</v>
      </c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</row>
    <row r="268" spans="1:34" s="19" customFormat="1" x14ac:dyDescent="0.2">
      <c r="A268" s="213">
        <v>42466</v>
      </c>
      <c r="B268" s="115" t="s">
        <v>127</v>
      </c>
      <c r="C268" s="130"/>
      <c r="D268" s="60">
        <v>376215549993</v>
      </c>
      <c r="E268" s="113">
        <v>212506</v>
      </c>
      <c r="F268" s="121"/>
      <c r="G268" s="122">
        <f>10+42</f>
        <v>52</v>
      </c>
      <c r="H268" s="131" t="s">
        <v>497</v>
      </c>
      <c r="I268" s="117"/>
      <c r="J268" s="142" t="s">
        <v>485</v>
      </c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</row>
    <row r="269" spans="1:34" s="19" customFormat="1" x14ac:dyDescent="0.2">
      <c r="A269" s="213">
        <v>42466</v>
      </c>
      <c r="B269" s="115" t="s">
        <v>127</v>
      </c>
      <c r="C269" s="130"/>
      <c r="D269" s="60">
        <v>376215549993</v>
      </c>
      <c r="E269" s="113">
        <v>212506</v>
      </c>
      <c r="F269" s="121"/>
      <c r="G269" s="122">
        <f>15.88+83.07</f>
        <v>98.949999999999989</v>
      </c>
      <c r="H269" s="131" t="s">
        <v>498</v>
      </c>
      <c r="I269" s="117"/>
      <c r="J269" s="142" t="s">
        <v>485</v>
      </c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</row>
    <row r="270" spans="1:34" s="19" customFormat="1" x14ac:dyDescent="0.2">
      <c r="A270" s="213">
        <v>42466</v>
      </c>
      <c r="B270" s="115" t="s">
        <v>127</v>
      </c>
      <c r="C270" s="130"/>
      <c r="D270" s="60">
        <v>376215549993</v>
      </c>
      <c r="E270" s="113">
        <v>212506</v>
      </c>
      <c r="F270" s="121"/>
      <c r="G270" s="122">
        <f>2.99+30.96</f>
        <v>33.950000000000003</v>
      </c>
      <c r="H270" s="131" t="s">
        <v>499</v>
      </c>
      <c r="I270" s="117"/>
      <c r="J270" s="142" t="s">
        <v>485</v>
      </c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</row>
    <row r="271" spans="1:34" s="19" customFormat="1" x14ac:dyDescent="0.2">
      <c r="A271" s="213">
        <v>42433</v>
      </c>
      <c r="B271" s="20" t="s">
        <v>127</v>
      </c>
      <c r="C271" s="130"/>
      <c r="D271" s="60">
        <v>376212518991</v>
      </c>
      <c r="E271" s="29">
        <v>212974</v>
      </c>
      <c r="F271" s="121"/>
      <c r="G271" s="122">
        <f>37.12+37</f>
        <v>74.12</v>
      </c>
      <c r="H271" s="131" t="s">
        <v>500</v>
      </c>
      <c r="I271" s="117"/>
      <c r="J271" s="168" t="s">
        <v>485</v>
      </c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</row>
    <row r="272" spans="1:34" s="203" customFormat="1" x14ac:dyDescent="0.2">
      <c r="A272" s="215">
        <v>42452</v>
      </c>
      <c r="B272" s="216" t="s">
        <v>127</v>
      </c>
      <c r="C272" s="203" t="s">
        <v>151</v>
      </c>
      <c r="D272" s="59">
        <v>376216686992</v>
      </c>
      <c r="E272" s="68">
        <v>217518</v>
      </c>
      <c r="F272" s="217"/>
      <c r="G272" s="218">
        <v>104.4</v>
      </c>
      <c r="H272" s="223" t="s">
        <v>501</v>
      </c>
      <c r="J272" s="250" t="s">
        <v>246</v>
      </c>
    </row>
    <row r="273" spans="1:34" s="203" customFormat="1" x14ac:dyDescent="0.2">
      <c r="A273" s="215">
        <v>42458</v>
      </c>
      <c r="B273" s="216" t="s">
        <v>127</v>
      </c>
      <c r="C273" s="203" t="s">
        <v>151</v>
      </c>
      <c r="D273" s="59">
        <v>376216686992</v>
      </c>
      <c r="E273" s="68">
        <v>217518</v>
      </c>
      <c r="F273" s="217"/>
      <c r="G273" s="218">
        <f>14.89+74.32</f>
        <v>89.21</v>
      </c>
      <c r="H273" s="223" t="s">
        <v>502</v>
      </c>
      <c r="J273" s="219" t="s">
        <v>246</v>
      </c>
    </row>
    <row r="274" spans="1:34" s="203" customFormat="1" x14ac:dyDescent="0.2">
      <c r="A274" s="215">
        <v>42460</v>
      </c>
      <c r="B274" s="216" t="s">
        <v>127</v>
      </c>
      <c r="C274" s="203" t="s">
        <v>151</v>
      </c>
      <c r="D274" s="59">
        <v>376216686992</v>
      </c>
      <c r="E274" s="68">
        <v>217518</v>
      </c>
      <c r="F274" s="217"/>
      <c r="G274" s="218">
        <f>8.08+19.77</f>
        <v>27.85</v>
      </c>
      <c r="H274" s="223" t="s">
        <v>503</v>
      </c>
      <c r="J274" s="219" t="s">
        <v>246</v>
      </c>
    </row>
    <row r="275" spans="1:34" s="203" customFormat="1" x14ac:dyDescent="0.2">
      <c r="A275" s="215">
        <v>42464</v>
      </c>
      <c r="B275" s="216" t="s">
        <v>127</v>
      </c>
      <c r="C275" s="203" t="s">
        <v>151</v>
      </c>
      <c r="D275" s="59">
        <v>376216686992</v>
      </c>
      <c r="E275" s="68">
        <v>217518</v>
      </c>
      <c r="F275" s="217"/>
      <c r="G275" s="218">
        <f>22.09+52.58</f>
        <v>74.67</v>
      </c>
      <c r="H275" s="223" t="s">
        <v>504</v>
      </c>
      <c r="J275" s="250" t="s">
        <v>246</v>
      </c>
    </row>
    <row r="276" spans="1:34" s="203" customFormat="1" x14ac:dyDescent="0.2">
      <c r="A276" s="215">
        <v>42464</v>
      </c>
      <c r="B276" s="216" t="s">
        <v>127</v>
      </c>
      <c r="C276" s="203" t="s">
        <v>151</v>
      </c>
      <c r="D276" s="59">
        <v>376216686992</v>
      </c>
      <c r="E276" s="68">
        <v>217518</v>
      </c>
      <c r="F276" s="217"/>
      <c r="G276" s="218">
        <f>22.26+62.69</f>
        <v>84.95</v>
      </c>
      <c r="H276" s="223" t="s">
        <v>505</v>
      </c>
      <c r="J276" s="250" t="s">
        <v>246</v>
      </c>
    </row>
    <row r="277" spans="1:34" s="203" customFormat="1" x14ac:dyDescent="0.2">
      <c r="A277" s="215">
        <v>42471</v>
      </c>
      <c r="B277" s="216" t="s">
        <v>127</v>
      </c>
      <c r="C277" s="203" t="s">
        <v>151</v>
      </c>
      <c r="D277" s="59">
        <v>376216686992</v>
      </c>
      <c r="E277" s="68">
        <v>217518</v>
      </c>
      <c r="F277" s="217"/>
      <c r="G277" s="218">
        <f>29.86+45.09</f>
        <v>74.95</v>
      </c>
      <c r="H277" s="223" t="s">
        <v>506</v>
      </c>
      <c r="J277" s="250" t="s">
        <v>246</v>
      </c>
    </row>
    <row r="278" spans="1:34" s="203" customFormat="1" x14ac:dyDescent="0.2">
      <c r="A278" s="215">
        <v>42473</v>
      </c>
      <c r="B278" s="216" t="s">
        <v>127</v>
      </c>
      <c r="C278" s="203" t="s">
        <v>151</v>
      </c>
      <c r="D278" s="59">
        <v>376216686992</v>
      </c>
      <c r="E278" s="68">
        <v>217518</v>
      </c>
      <c r="F278" s="217"/>
      <c r="G278" s="218">
        <f>13.99+39.96</f>
        <v>53.95</v>
      </c>
      <c r="H278" s="223" t="s">
        <v>507</v>
      </c>
      <c r="J278" s="250" t="s">
        <v>246</v>
      </c>
    </row>
    <row r="279" spans="1:34" s="203" customFormat="1" x14ac:dyDescent="0.2">
      <c r="A279" s="215">
        <v>42474</v>
      </c>
      <c r="B279" s="216" t="s">
        <v>127</v>
      </c>
      <c r="C279" s="203" t="s">
        <v>151</v>
      </c>
      <c r="D279" s="59">
        <v>376216686992</v>
      </c>
      <c r="E279" s="68">
        <v>217518</v>
      </c>
      <c r="F279" s="217"/>
      <c r="G279" s="218">
        <f>23.51+56.19</f>
        <v>79.7</v>
      </c>
      <c r="H279" s="223" t="s">
        <v>508</v>
      </c>
      <c r="J279" s="250" t="s">
        <v>246</v>
      </c>
    </row>
    <row r="280" spans="1:34" s="203" customFormat="1" x14ac:dyDescent="0.2">
      <c r="A280" s="215">
        <v>42478</v>
      </c>
      <c r="B280" s="216" t="s">
        <v>127</v>
      </c>
      <c r="C280" s="203" t="s">
        <v>151</v>
      </c>
      <c r="D280" s="59">
        <v>376216686992</v>
      </c>
      <c r="E280" s="68">
        <v>217518</v>
      </c>
      <c r="F280" s="217"/>
      <c r="G280" s="218">
        <f>13.74+24.16</f>
        <v>37.9</v>
      </c>
      <c r="H280" s="223" t="s">
        <v>509</v>
      </c>
      <c r="J280" s="250" t="s">
        <v>246</v>
      </c>
    </row>
    <row r="281" spans="1:34" s="203" customFormat="1" x14ac:dyDescent="0.2">
      <c r="A281" s="215">
        <v>42479</v>
      </c>
      <c r="B281" s="216" t="s">
        <v>127</v>
      </c>
      <c r="C281" s="203" t="s">
        <v>151</v>
      </c>
      <c r="D281" s="59">
        <v>376216686992</v>
      </c>
      <c r="E281" s="68">
        <v>217518</v>
      </c>
      <c r="F281" s="217"/>
      <c r="G281" s="218">
        <f>19.57+27.3</f>
        <v>46.870000000000005</v>
      </c>
      <c r="H281" s="223" t="s">
        <v>510</v>
      </c>
      <c r="J281" s="250" t="s">
        <v>246</v>
      </c>
    </row>
    <row r="282" spans="1:34" s="203" customFormat="1" x14ac:dyDescent="0.2">
      <c r="A282" s="215">
        <v>42480</v>
      </c>
      <c r="B282" s="216" t="s">
        <v>127</v>
      </c>
      <c r="C282" s="203" t="s">
        <v>151</v>
      </c>
      <c r="D282" s="59">
        <v>376216686992</v>
      </c>
      <c r="E282" s="68">
        <v>217518</v>
      </c>
      <c r="F282" s="217"/>
      <c r="G282" s="218">
        <f>53.15+133.97</f>
        <v>187.12</v>
      </c>
      <c r="H282" s="223" t="s">
        <v>511</v>
      </c>
      <c r="J282" s="250" t="s">
        <v>246</v>
      </c>
    </row>
    <row r="283" spans="1:34" s="203" customFormat="1" x14ac:dyDescent="0.2">
      <c r="A283" s="215">
        <v>42485</v>
      </c>
      <c r="B283" s="216" t="s">
        <v>127</v>
      </c>
      <c r="C283" s="203" t="s">
        <v>151</v>
      </c>
      <c r="D283" s="59">
        <v>376216686992</v>
      </c>
      <c r="E283" s="68">
        <v>217518</v>
      </c>
      <c r="F283" s="217"/>
      <c r="G283" s="218">
        <v>59.95</v>
      </c>
      <c r="H283" s="223" t="s">
        <v>512</v>
      </c>
      <c r="J283" s="251" t="s">
        <v>246</v>
      </c>
    </row>
    <row r="284" spans="1:34" s="19" customFormat="1" x14ac:dyDescent="0.2">
      <c r="A284" s="213">
        <v>42465</v>
      </c>
      <c r="B284" s="115" t="s">
        <v>127</v>
      </c>
      <c r="C284" s="117"/>
      <c r="D284" s="121" t="s">
        <v>513</v>
      </c>
      <c r="E284" s="113">
        <v>219739</v>
      </c>
      <c r="F284" s="121"/>
      <c r="G284" s="122">
        <f>17.19+42.65</f>
        <v>59.84</v>
      </c>
      <c r="H284" s="117">
        <v>1867210</v>
      </c>
      <c r="I284" s="117"/>
      <c r="J284" s="142" t="s">
        <v>514</v>
      </c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</row>
    <row r="285" spans="1:34" s="19" customFormat="1" x14ac:dyDescent="0.2">
      <c r="A285" s="213">
        <v>42465</v>
      </c>
      <c r="B285" s="115" t="s">
        <v>127</v>
      </c>
      <c r="C285" s="117"/>
      <c r="D285" s="121" t="s">
        <v>513</v>
      </c>
      <c r="E285" s="113">
        <v>219739</v>
      </c>
      <c r="F285" s="121"/>
      <c r="G285" s="122">
        <f>76.13+150.43</f>
        <v>226.56</v>
      </c>
      <c r="H285" s="117">
        <v>1868286</v>
      </c>
      <c r="I285" s="117"/>
      <c r="J285" s="142" t="s">
        <v>514</v>
      </c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</row>
    <row r="286" spans="1:34" s="19" customFormat="1" x14ac:dyDescent="0.2">
      <c r="A286" s="213">
        <v>42457</v>
      </c>
      <c r="B286" s="20" t="s">
        <v>127</v>
      </c>
      <c r="C286" s="130"/>
      <c r="D286" s="60">
        <v>376254925997</v>
      </c>
      <c r="E286" s="113">
        <v>222889</v>
      </c>
      <c r="F286" s="121"/>
      <c r="G286" s="122">
        <v>43.95</v>
      </c>
      <c r="H286" s="134" t="s">
        <v>515</v>
      </c>
      <c r="I286" s="117"/>
      <c r="J286" s="124" t="s">
        <v>485</v>
      </c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</row>
    <row r="287" spans="1:34" s="19" customFormat="1" x14ac:dyDescent="0.2">
      <c r="A287" s="213">
        <v>42431</v>
      </c>
      <c r="B287" s="20" t="s">
        <v>127</v>
      </c>
      <c r="C287" s="130"/>
      <c r="D287" s="60">
        <v>376208865992</v>
      </c>
      <c r="E287" s="29">
        <v>223010</v>
      </c>
      <c r="F287" s="121"/>
      <c r="G287" s="122">
        <v>10</v>
      </c>
      <c r="H287" s="131" t="s">
        <v>516</v>
      </c>
      <c r="I287" s="117"/>
      <c r="J287" s="168" t="s">
        <v>517</v>
      </c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</row>
    <row r="288" spans="1:34" s="19" customFormat="1" x14ac:dyDescent="0.2">
      <c r="A288" s="213">
        <v>42431</v>
      </c>
      <c r="B288" s="20" t="s">
        <v>127</v>
      </c>
      <c r="C288" s="130"/>
      <c r="D288" s="60">
        <v>376208865992</v>
      </c>
      <c r="E288" s="29">
        <v>223010</v>
      </c>
      <c r="F288" s="121"/>
      <c r="G288" s="122">
        <f>12.96+52.99</f>
        <v>65.95</v>
      </c>
      <c r="H288" s="131" t="s">
        <v>518</v>
      </c>
      <c r="I288" s="117"/>
      <c r="J288" s="168" t="s">
        <v>485</v>
      </c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</row>
    <row r="289" spans="1:34" s="19" customFormat="1" x14ac:dyDescent="0.2">
      <c r="A289" s="213">
        <v>42431</v>
      </c>
      <c r="B289" s="20" t="s">
        <v>127</v>
      </c>
      <c r="C289" s="130"/>
      <c r="D289" s="60">
        <v>376208865992</v>
      </c>
      <c r="E289" s="29">
        <v>223010</v>
      </c>
      <c r="F289" s="121"/>
      <c r="G289" s="122">
        <f>16.41+167.49</f>
        <v>183.9</v>
      </c>
      <c r="H289" s="131" t="s">
        <v>516</v>
      </c>
      <c r="I289" s="117"/>
      <c r="J289" s="168" t="s">
        <v>485</v>
      </c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</row>
    <row r="290" spans="1:34" s="19" customFormat="1" x14ac:dyDescent="0.2">
      <c r="A290" s="213">
        <v>42431</v>
      </c>
      <c r="B290" s="20" t="s">
        <v>127</v>
      </c>
      <c r="C290" s="130"/>
      <c r="D290" s="60">
        <v>376208865992</v>
      </c>
      <c r="E290" s="29">
        <v>223010</v>
      </c>
      <c r="F290" s="121"/>
      <c r="G290" s="122">
        <f>7.3+20.65</f>
        <v>27.95</v>
      </c>
      <c r="H290" s="131" t="s">
        <v>519</v>
      </c>
      <c r="I290" s="117"/>
      <c r="J290" s="168" t="s">
        <v>485</v>
      </c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</row>
    <row r="291" spans="1:34" s="19" customFormat="1" x14ac:dyDescent="0.2">
      <c r="A291" s="213">
        <v>42443</v>
      </c>
      <c r="B291" s="20" t="s">
        <v>127</v>
      </c>
      <c r="C291" s="130"/>
      <c r="D291" s="60">
        <v>376208865992</v>
      </c>
      <c r="E291" s="113">
        <v>223010</v>
      </c>
      <c r="F291" s="121"/>
      <c r="G291" s="122">
        <v>133.94999999999999</v>
      </c>
      <c r="H291" s="134" t="s">
        <v>520</v>
      </c>
      <c r="I291" s="117"/>
      <c r="J291" s="124" t="s">
        <v>485</v>
      </c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</row>
    <row r="292" spans="1:34" s="19" customFormat="1" x14ac:dyDescent="0.2">
      <c r="A292" s="213">
        <v>42468</v>
      </c>
      <c r="B292" s="115" t="s">
        <v>127</v>
      </c>
      <c r="C292" s="130"/>
      <c r="D292" s="60">
        <v>376210333997</v>
      </c>
      <c r="E292" s="113">
        <v>223062</v>
      </c>
      <c r="F292" s="121"/>
      <c r="G292" s="122">
        <v>88.95</v>
      </c>
      <c r="H292" s="131" t="s">
        <v>521</v>
      </c>
      <c r="I292" s="117"/>
      <c r="J292" s="142" t="s">
        <v>485</v>
      </c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</row>
    <row r="293" spans="1:34" s="19" customFormat="1" x14ac:dyDescent="0.2">
      <c r="A293" s="119" t="s">
        <v>1939</v>
      </c>
      <c r="B293" s="115" t="s">
        <v>6</v>
      </c>
      <c r="C293" s="130"/>
      <c r="D293" s="60">
        <v>376269121996</v>
      </c>
      <c r="E293" s="113">
        <v>223640</v>
      </c>
      <c r="F293" s="121" t="s">
        <v>522</v>
      </c>
      <c r="G293" s="225">
        <v>114.75</v>
      </c>
      <c r="H293" s="131"/>
      <c r="I293" s="117"/>
      <c r="J293" s="140" t="s">
        <v>12</v>
      </c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</row>
    <row r="294" spans="1:34" s="19" customFormat="1" x14ac:dyDescent="0.2">
      <c r="A294" s="213">
        <v>42454</v>
      </c>
      <c r="B294" s="20" t="s">
        <v>127</v>
      </c>
      <c r="C294" s="130"/>
      <c r="D294" s="60">
        <v>376220021996</v>
      </c>
      <c r="E294" s="113">
        <v>225160</v>
      </c>
      <c r="F294" s="121"/>
      <c r="G294" s="122">
        <v>94.29</v>
      </c>
      <c r="H294" s="131" t="s">
        <v>523</v>
      </c>
      <c r="I294" s="117"/>
      <c r="J294" s="142" t="s">
        <v>485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</row>
    <row r="295" spans="1:34" s="19" customFormat="1" x14ac:dyDescent="0.2">
      <c r="A295" s="213">
        <v>42445</v>
      </c>
      <c r="B295" s="20" t="s">
        <v>127</v>
      </c>
      <c r="C295" s="130"/>
      <c r="D295" s="60">
        <v>376227639998</v>
      </c>
      <c r="E295" s="113">
        <v>226090</v>
      </c>
      <c r="F295" s="121"/>
      <c r="G295" s="122">
        <v>209.9</v>
      </c>
      <c r="H295" s="134" t="s">
        <v>524</v>
      </c>
      <c r="I295" s="117"/>
      <c r="J295" s="124" t="s">
        <v>489</v>
      </c>
      <c r="K295" s="124"/>
      <c r="L295" s="124"/>
      <c r="M295" s="124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</row>
    <row r="296" spans="1:34" s="203" customFormat="1" x14ac:dyDescent="0.2">
      <c r="A296" s="215">
        <v>42432</v>
      </c>
      <c r="B296" s="216" t="s">
        <v>127</v>
      </c>
      <c r="C296" s="203" t="s">
        <v>151</v>
      </c>
      <c r="D296" s="59">
        <v>376235651993</v>
      </c>
      <c r="E296" s="68">
        <v>226401</v>
      </c>
      <c r="F296" s="217"/>
      <c r="G296" s="227">
        <f>19.46+48.5</f>
        <v>67.960000000000008</v>
      </c>
      <c r="H296" s="223" t="s">
        <v>525</v>
      </c>
      <c r="J296" s="253" t="s">
        <v>246</v>
      </c>
      <c r="K296" s="253"/>
      <c r="L296" s="253"/>
    </row>
    <row r="297" spans="1:34" s="203" customFormat="1" x14ac:dyDescent="0.2">
      <c r="A297" s="215">
        <v>42432</v>
      </c>
      <c r="B297" s="216" t="s">
        <v>127</v>
      </c>
      <c r="C297" s="203" t="s">
        <v>151</v>
      </c>
      <c r="D297" s="59">
        <v>376235651993</v>
      </c>
      <c r="E297" s="68">
        <v>226401</v>
      </c>
      <c r="F297" s="217"/>
      <c r="G297" s="227">
        <f>12.96+52.99</f>
        <v>65.95</v>
      </c>
      <c r="H297" s="223" t="s">
        <v>526</v>
      </c>
      <c r="J297" s="253" t="s">
        <v>246</v>
      </c>
      <c r="K297" s="253"/>
      <c r="L297" s="253"/>
    </row>
    <row r="298" spans="1:34" s="203" customFormat="1" x14ac:dyDescent="0.2">
      <c r="A298" s="215">
        <v>42432</v>
      </c>
      <c r="B298" s="216" t="s">
        <v>127</v>
      </c>
      <c r="C298" s="203" t="s">
        <v>151</v>
      </c>
      <c r="D298" s="59">
        <v>376235651993</v>
      </c>
      <c r="E298" s="68">
        <v>226401</v>
      </c>
      <c r="F298" s="217"/>
      <c r="G298" s="227">
        <f>4+67.9</f>
        <v>71.900000000000006</v>
      </c>
      <c r="H298" s="223" t="s">
        <v>527</v>
      </c>
      <c r="J298" s="253" t="s">
        <v>246</v>
      </c>
      <c r="K298" s="253"/>
      <c r="L298" s="253"/>
    </row>
    <row r="299" spans="1:34" s="203" customFormat="1" ht="12.6" customHeight="1" x14ac:dyDescent="0.2">
      <c r="A299" s="215">
        <v>42436</v>
      </c>
      <c r="B299" s="216" t="s">
        <v>127</v>
      </c>
      <c r="C299" s="203" t="s">
        <v>151</v>
      </c>
      <c r="D299" s="59">
        <v>376235651993</v>
      </c>
      <c r="E299" s="68">
        <v>226401</v>
      </c>
      <c r="F299" s="217"/>
      <c r="G299" s="227">
        <f>10+58.95</f>
        <v>68.95</v>
      </c>
      <c r="H299" s="223" t="s">
        <v>528</v>
      </c>
      <c r="J299" s="253" t="s">
        <v>246</v>
      </c>
    </row>
    <row r="300" spans="1:34" s="203" customFormat="1" x14ac:dyDescent="0.2">
      <c r="A300" s="215">
        <v>42436</v>
      </c>
      <c r="B300" s="216" t="s">
        <v>127</v>
      </c>
      <c r="C300" s="203" t="s">
        <v>151</v>
      </c>
      <c r="D300" s="59">
        <v>376235651993</v>
      </c>
      <c r="E300" s="68">
        <v>226401</v>
      </c>
      <c r="F300" s="217"/>
      <c r="G300" s="227">
        <f>5.51+61.6</f>
        <v>67.11</v>
      </c>
      <c r="H300" s="223" t="s">
        <v>529</v>
      </c>
      <c r="J300" s="253" t="s">
        <v>246</v>
      </c>
    </row>
    <row r="301" spans="1:34" s="203" customFormat="1" x14ac:dyDescent="0.2">
      <c r="A301" s="215">
        <v>42436</v>
      </c>
      <c r="B301" s="216" t="s">
        <v>127</v>
      </c>
      <c r="C301" s="203" t="s">
        <v>151</v>
      </c>
      <c r="D301" s="59">
        <v>376235651993</v>
      </c>
      <c r="E301" s="68">
        <v>226401</v>
      </c>
      <c r="F301" s="217"/>
      <c r="G301" s="227">
        <f>4.09+52.82</f>
        <v>56.91</v>
      </c>
      <c r="H301" s="223" t="s">
        <v>530</v>
      </c>
      <c r="J301" s="253" t="s">
        <v>246</v>
      </c>
    </row>
    <row r="302" spans="1:34" s="203" customFormat="1" x14ac:dyDescent="0.2">
      <c r="A302" s="215">
        <v>42436</v>
      </c>
      <c r="B302" s="216" t="s">
        <v>127</v>
      </c>
      <c r="C302" s="203" t="s">
        <v>151</v>
      </c>
      <c r="D302" s="59">
        <v>376235651993</v>
      </c>
      <c r="E302" s="68">
        <v>226401</v>
      </c>
      <c r="F302" s="217"/>
      <c r="G302" s="227">
        <f>24.96+81.99</f>
        <v>106.94999999999999</v>
      </c>
      <c r="H302" s="223" t="s">
        <v>531</v>
      </c>
      <c r="J302" s="253" t="s">
        <v>246</v>
      </c>
    </row>
    <row r="303" spans="1:34" s="203" customFormat="1" x14ac:dyDescent="0.2">
      <c r="A303" s="215">
        <v>42436</v>
      </c>
      <c r="B303" s="216" t="s">
        <v>127</v>
      </c>
      <c r="C303" s="203" t="s">
        <v>151</v>
      </c>
      <c r="D303" s="59">
        <v>376235651993</v>
      </c>
      <c r="E303" s="68">
        <v>226401</v>
      </c>
      <c r="F303" s="217"/>
      <c r="G303" s="227">
        <f>0.94+7.49</f>
        <v>8.43</v>
      </c>
      <c r="H303" s="223" t="s">
        <v>532</v>
      </c>
      <c r="J303" s="253" t="s">
        <v>246</v>
      </c>
    </row>
    <row r="304" spans="1:34" s="203" customFormat="1" x14ac:dyDescent="0.2">
      <c r="A304" s="215">
        <v>42438</v>
      </c>
      <c r="B304" s="216" t="s">
        <v>127</v>
      </c>
      <c r="C304" s="203" t="s">
        <v>151</v>
      </c>
      <c r="D304" s="59">
        <v>376235651993</v>
      </c>
      <c r="E304" s="68">
        <v>226401</v>
      </c>
      <c r="F304" s="217"/>
      <c r="G304" s="227">
        <f>14.47+110.48</f>
        <v>124.95</v>
      </c>
      <c r="H304" s="223" t="s">
        <v>533</v>
      </c>
      <c r="J304" s="253" t="s">
        <v>246</v>
      </c>
    </row>
    <row r="305" spans="1:10" s="203" customFormat="1" x14ac:dyDescent="0.2">
      <c r="A305" s="215">
        <v>42438</v>
      </c>
      <c r="B305" s="216" t="s">
        <v>127</v>
      </c>
      <c r="C305" s="203" t="s">
        <v>151</v>
      </c>
      <c r="D305" s="59">
        <v>376235651993</v>
      </c>
      <c r="E305" s="68">
        <v>226401</v>
      </c>
      <c r="F305" s="217"/>
      <c r="G305" s="227">
        <f>7.54+81.67</f>
        <v>89.210000000000008</v>
      </c>
      <c r="H305" s="223" t="s">
        <v>534</v>
      </c>
      <c r="J305" s="253" t="s">
        <v>246</v>
      </c>
    </row>
    <row r="306" spans="1:10" s="203" customFormat="1" x14ac:dyDescent="0.2">
      <c r="A306" s="215">
        <v>42438</v>
      </c>
      <c r="B306" s="216" t="s">
        <v>127</v>
      </c>
      <c r="C306" s="203" t="s">
        <v>151</v>
      </c>
      <c r="D306" s="59">
        <v>376235651993</v>
      </c>
      <c r="E306" s="68">
        <v>226401</v>
      </c>
      <c r="F306" s="217"/>
      <c r="G306" s="227">
        <f>56.94+202.86</f>
        <v>259.8</v>
      </c>
      <c r="H306" s="223" t="s">
        <v>535</v>
      </c>
      <c r="J306" s="253" t="s">
        <v>246</v>
      </c>
    </row>
    <row r="307" spans="1:10" s="203" customFormat="1" x14ac:dyDescent="0.2">
      <c r="A307" s="215">
        <v>42439</v>
      </c>
      <c r="B307" s="216" t="s">
        <v>127</v>
      </c>
      <c r="C307" s="203" t="s">
        <v>151</v>
      </c>
      <c r="D307" s="59">
        <v>376235651993</v>
      </c>
      <c r="E307" s="68">
        <v>226401</v>
      </c>
      <c r="F307" s="217"/>
      <c r="G307" s="227">
        <f>8.01+92.2</f>
        <v>100.21000000000001</v>
      </c>
      <c r="H307" s="223" t="s">
        <v>536</v>
      </c>
      <c r="J307" s="253" t="s">
        <v>246</v>
      </c>
    </row>
    <row r="308" spans="1:10" s="203" customFormat="1" x14ac:dyDescent="0.2">
      <c r="A308" s="215">
        <v>42443</v>
      </c>
      <c r="B308" s="216" t="s">
        <v>127</v>
      </c>
      <c r="C308" s="203" t="s">
        <v>151</v>
      </c>
      <c r="D308" s="59">
        <v>376235651993</v>
      </c>
      <c r="E308" s="68">
        <v>226401</v>
      </c>
      <c r="F308" s="217"/>
      <c r="G308" s="227">
        <f>3.93+28.33</f>
        <v>32.26</v>
      </c>
      <c r="H308" s="223" t="s">
        <v>537</v>
      </c>
      <c r="J308" s="253" t="s">
        <v>246</v>
      </c>
    </row>
    <row r="309" spans="1:10" s="203" customFormat="1" x14ac:dyDescent="0.2">
      <c r="A309" s="215">
        <v>42443</v>
      </c>
      <c r="B309" s="216" t="s">
        <v>127</v>
      </c>
      <c r="C309" s="203" t="s">
        <v>151</v>
      </c>
      <c r="D309" s="59">
        <v>376235651993</v>
      </c>
      <c r="E309" s="68">
        <v>226401</v>
      </c>
      <c r="F309" s="217"/>
      <c r="G309" s="227">
        <v>49.95</v>
      </c>
      <c r="H309" s="223" t="s">
        <v>538</v>
      </c>
      <c r="J309" s="253" t="s">
        <v>246</v>
      </c>
    </row>
    <row r="310" spans="1:10" s="203" customFormat="1" x14ac:dyDescent="0.2">
      <c r="A310" s="215">
        <v>42443</v>
      </c>
      <c r="B310" s="216" t="s">
        <v>127</v>
      </c>
      <c r="C310" s="203" t="s">
        <v>151</v>
      </c>
      <c r="D310" s="59">
        <v>376235651993</v>
      </c>
      <c r="E310" s="68">
        <v>226401</v>
      </c>
      <c r="F310" s="217"/>
      <c r="G310" s="227">
        <f>3.35+77.6</f>
        <v>80.949999999999989</v>
      </c>
      <c r="H310" s="223" t="s">
        <v>539</v>
      </c>
      <c r="J310" s="253" t="s">
        <v>246</v>
      </c>
    </row>
    <row r="311" spans="1:10" s="203" customFormat="1" x14ac:dyDescent="0.2">
      <c r="A311" s="215">
        <v>42443</v>
      </c>
      <c r="B311" s="216" t="s">
        <v>127</v>
      </c>
      <c r="C311" s="203" t="s">
        <v>151</v>
      </c>
      <c r="D311" s="59">
        <v>376235651993</v>
      </c>
      <c r="E311" s="68">
        <v>226401</v>
      </c>
      <c r="F311" s="217"/>
      <c r="G311" s="227">
        <f>7.71+44.24</f>
        <v>51.95</v>
      </c>
      <c r="H311" s="223" t="s">
        <v>540</v>
      </c>
      <c r="J311" s="253" t="s">
        <v>246</v>
      </c>
    </row>
    <row r="312" spans="1:10" s="203" customFormat="1" x14ac:dyDescent="0.2">
      <c r="A312" s="215">
        <v>42443</v>
      </c>
      <c r="B312" s="216" t="s">
        <v>127</v>
      </c>
      <c r="C312" s="203" t="s">
        <v>151</v>
      </c>
      <c r="D312" s="59">
        <v>376235651993</v>
      </c>
      <c r="E312" s="68">
        <v>226401</v>
      </c>
      <c r="F312" s="217"/>
      <c r="G312" s="227">
        <f>7.71+44.24</f>
        <v>51.95</v>
      </c>
      <c r="H312" s="223" t="s">
        <v>541</v>
      </c>
      <c r="J312" s="253" t="s">
        <v>246</v>
      </c>
    </row>
    <row r="313" spans="1:10" s="203" customFormat="1" x14ac:dyDescent="0.2">
      <c r="A313" s="215">
        <v>42445</v>
      </c>
      <c r="B313" s="216" t="s">
        <v>127</v>
      </c>
      <c r="C313" s="203" t="s">
        <v>151</v>
      </c>
      <c r="D313" s="59">
        <v>376235651993</v>
      </c>
      <c r="E313" s="68">
        <v>226401</v>
      </c>
      <c r="F313" s="217"/>
      <c r="G313" s="227">
        <f>32.47+147.43</f>
        <v>179.9</v>
      </c>
      <c r="H313" s="223" t="s">
        <v>542</v>
      </c>
      <c r="J313" s="253" t="s">
        <v>246</v>
      </c>
    </row>
    <row r="314" spans="1:10" s="203" customFormat="1" x14ac:dyDescent="0.2">
      <c r="A314" s="215">
        <v>42446</v>
      </c>
      <c r="B314" s="216" t="s">
        <v>127</v>
      </c>
      <c r="C314" s="203" t="s">
        <v>151</v>
      </c>
      <c r="D314" s="59">
        <v>376235651993</v>
      </c>
      <c r="E314" s="68">
        <v>226401</v>
      </c>
      <c r="F314" s="217"/>
      <c r="G314" s="227">
        <f>11.46+37.44</f>
        <v>48.9</v>
      </c>
      <c r="H314" s="223" t="s">
        <v>543</v>
      </c>
      <c r="J314" s="253" t="s">
        <v>246</v>
      </c>
    </row>
    <row r="315" spans="1:10" s="203" customFormat="1" x14ac:dyDescent="0.2">
      <c r="A315" s="215">
        <v>42446</v>
      </c>
      <c r="B315" s="216" t="s">
        <v>127</v>
      </c>
      <c r="C315" s="203" t="s">
        <v>151</v>
      </c>
      <c r="D315" s="59">
        <v>376235651993</v>
      </c>
      <c r="E315" s="68">
        <v>226401</v>
      </c>
      <c r="F315" s="217"/>
      <c r="G315" s="227">
        <f>10+50.95</f>
        <v>60.95</v>
      </c>
      <c r="H315" s="223" t="s">
        <v>544</v>
      </c>
      <c r="J315" s="253" t="s">
        <v>246</v>
      </c>
    </row>
    <row r="316" spans="1:10" s="203" customFormat="1" x14ac:dyDescent="0.2">
      <c r="A316" s="215">
        <v>42446</v>
      </c>
      <c r="B316" s="216" t="s">
        <v>127</v>
      </c>
      <c r="C316" s="203" t="s">
        <v>151</v>
      </c>
      <c r="D316" s="59">
        <v>376235651993</v>
      </c>
      <c r="E316" s="68">
        <v>226401</v>
      </c>
      <c r="F316" s="217"/>
      <c r="G316" s="227">
        <f>14.46+64.44</f>
        <v>78.900000000000006</v>
      </c>
      <c r="H316" s="223" t="s">
        <v>545</v>
      </c>
      <c r="J316" s="253" t="s">
        <v>246</v>
      </c>
    </row>
    <row r="317" spans="1:10" s="203" customFormat="1" x14ac:dyDescent="0.2">
      <c r="A317" s="215">
        <v>42446</v>
      </c>
      <c r="B317" s="216" t="s">
        <v>127</v>
      </c>
      <c r="C317" s="203" t="s">
        <v>151</v>
      </c>
      <c r="D317" s="59">
        <v>376235651993</v>
      </c>
      <c r="E317" s="68">
        <v>226401</v>
      </c>
      <c r="F317" s="217"/>
      <c r="G317" s="227">
        <f>31.81+163.14</f>
        <v>194.95</v>
      </c>
      <c r="H317" s="223" t="s">
        <v>546</v>
      </c>
      <c r="J317" s="253" t="s">
        <v>246</v>
      </c>
    </row>
    <row r="318" spans="1:10" s="203" customFormat="1" x14ac:dyDescent="0.2">
      <c r="A318" s="215">
        <v>42446</v>
      </c>
      <c r="B318" s="216" t="s">
        <v>127</v>
      </c>
      <c r="C318" s="203" t="s">
        <v>151</v>
      </c>
      <c r="D318" s="59">
        <v>376235651993</v>
      </c>
      <c r="E318" s="68">
        <v>226401</v>
      </c>
      <c r="F318" s="217"/>
      <c r="G318" s="227">
        <f>7.91+25.04</f>
        <v>32.950000000000003</v>
      </c>
      <c r="H318" s="223" t="s">
        <v>547</v>
      </c>
      <c r="J318" s="253" t="s">
        <v>246</v>
      </c>
    </row>
    <row r="319" spans="1:10" s="203" customFormat="1" x14ac:dyDescent="0.2">
      <c r="A319" s="215">
        <v>42446</v>
      </c>
      <c r="B319" s="216" t="s">
        <v>127</v>
      </c>
      <c r="C319" s="203" t="s">
        <v>151</v>
      </c>
      <c r="D319" s="59">
        <v>376235651993</v>
      </c>
      <c r="E319" s="68">
        <v>226401</v>
      </c>
      <c r="F319" s="217"/>
      <c r="G319" s="227">
        <f>18.01+34.94</f>
        <v>52.95</v>
      </c>
      <c r="H319" s="223" t="s">
        <v>548</v>
      </c>
      <c r="J319" s="253" t="s">
        <v>246</v>
      </c>
    </row>
    <row r="320" spans="1:10" s="203" customFormat="1" x14ac:dyDescent="0.2">
      <c r="A320" s="215">
        <v>42446</v>
      </c>
      <c r="B320" s="216" t="s">
        <v>127</v>
      </c>
      <c r="C320" s="203" t="s">
        <v>151</v>
      </c>
      <c r="D320" s="59">
        <v>376235651993</v>
      </c>
      <c r="E320" s="68">
        <v>226401</v>
      </c>
      <c r="F320" s="217"/>
      <c r="G320" s="227">
        <f>41.37+121.53</f>
        <v>162.9</v>
      </c>
      <c r="H320" s="223" t="s">
        <v>549</v>
      </c>
      <c r="J320" s="253" t="s">
        <v>246</v>
      </c>
    </row>
    <row r="321" spans="1:10" s="203" customFormat="1" x14ac:dyDescent="0.2">
      <c r="A321" s="215">
        <v>42447</v>
      </c>
      <c r="B321" s="216" t="s">
        <v>127</v>
      </c>
      <c r="C321" s="203" t="s">
        <v>151</v>
      </c>
      <c r="D321" s="59">
        <v>376235651993</v>
      </c>
      <c r="E321" s="68">
        <v>226401</v>
      </c>
      <c r="F321" s="217"/>
      <c r="G321" s="227">
        <f>10+59.89</f>
        <v>69.89</v>
      </c>
      <c r="H321" s="223" t="s">
        <v>550</v>
      </c>
      <c r="J321" s="253" t="s">
        <v>246</v>
      </c>
    </row>
    <row r="322" spans="1:10" s="203" customFormat="1" x14ac:dyDescent="0.2">
      <c r="A322" s="215">
        <v>42450</v>
      </c>
      <c r="B322" s="216" t="s">
        <v>127</v>
      </c>
      <c r="C322" s="203" t="s">
        <v>151</v>
      </c>
      <c r="D322" s="59">
        <v>376235651993</v>
      </c>
      <c r="E322" s="68">
        <v>226401</v>
      </c>
      <c r="F322" s="217"/>
      <c r="G322" s="227">
        <f>28.71+62.24</f>
        <v>90.95</v>
      </c>
      <c r="H322" s="223" t="s">
        <v>551</v>
      </c>
      <c r="J322" s="253" t="s">
        <v>246</v>
      </c>
    </row>
    <row r="323" spans="1:10" s="203" customFormat="1" x14ac:dyDescent="0.2">
      <c r="A323" s="215">
        <v>42450</v>
      </c>
      <c r="B323" s="216" t="s">
        <v>127</v>
      </c>
      <c r="C323" s="203" t="s">
        <v>151</v>
      </c>
      <c r="D323" s="59">
        <v>376235651993</v>
      </c>
      <c r="E323" s="68">
        <v>226401</v>
      </c>
      <c r="F323" s="217"/>
      <c r="G323" s="227">
        <f>14.47+110.48</f>
        <v>124.95</v>
      </c>
      <c r="H323" s="223" t="s">
        <v>552</v>
      </c>
      <c r="J323" s="253" t="s">
        <v>246</v>
      </c>
    </row>
    <row r="324" spans="1:10" s="203" customFormat="1" x14ac:dyDescent="0.2">
      <c r="A324" s="215">
        <v>42450</v>
      </c>
      <c r="B324" s="216" t="s">
        <v>127</v>
      </c>
      <c r="C324" s="203" t="s">
        <v>151</v>
      </c>
      <c r="D324" s="59">
        <v>376235651993</v>
      </c>
      <c r="E324" s="68">
        <v>226401</v>
      </c>
      <c r="F324" s="217"/>
      <c r="G324" s="227">
        <f>7.17+77.78</f>
        <v>84.95</v>
      </c>
      <c r="H324" s="223" t="s">
        <v>553</v>
      </c>
      <c r="J324" s="253" t="s">
        <v>246</v>
      </c>
    </row>
    <row r="325" spans="1:10" s="203" customFormat="1" x14ac:dyDescent="0.2">
      <c r="A325" s="215">
        <v>42450</v>
      </c>
      <c r="B325" s="216" t="s">
        <v>127</v>
      </c>
      <c r="C325" s="203" t="s">
        <v>151</v>
      </c>
      <c r="D325" s="59">
        <v>376235651993</v>
      </c>
      <c r="E325" s="68">
        <v>226401</v>
      </c>
      <c r="F325" s="217"/>
      <c r="G325" s="227">
        <f>3.83+61.58</f>
        <v>65.41</v>
      </c>
      <c r="H325" s="223" t="s">
        <v>554</v>
      </c>
      <c r="J325" s="253" t="s">
        <v>246</v>
      </c>
    </row>
    <row r="326" spans="1:10" s="203" customFormat="1" x14ac:dyDescent="0.2">
      <c r="A326" s="215">
        <v>42450</v>
      </c>
      <c r="B326" s="216" t="s">
        <v>127</v>
      </c>
      <c r="C326" s="203" t="s">
        <v>151</v>
      </c>
      <c r="D326" s="59">
        <v>376235651993</v>
      </c>
      <c r="E326" s="68">
        <v>226401</v>
      </c>
      <c r="F326" s="217"/>
      <c r="G326" s="227">
        <f>31.76+67.19</f>
        <v>98.95</v>
      </c>
      <c r="H326" s="223" t="s">
        <v>555</v>
      </c>
      <c r="J326" s="253" t="s">
        <v>246</v>
      </c>
    </row>
    <row r="327" spans="1:10" s="203" customFormat="1" x14ac:dyDescent="0.2">
      <c r="A327" s="215">
        <v>42451</v>
      </c>
      <c r="B327" s="216" t="s">
        <v>127</v>
      </c>
      <c r="C327" s="203" t="s">
        <v>151</v>
      </c>
      <c r="D327" s="59">
        <v>376235651993</v>
      </c>
      <c r="E327" s="68">
        <v>226401</v>
      </c>
      <c r="F327" s="217"/>
      <c r="G327" s="227">
        <f>4.1+53.66</f>
        <v>57.76</v>
      </c>
      <c r="H327" s="223" t="s">
        <v>556</v>
      </c>
      <c r="J327" s="253" t="s">
        <v>246</v>
      </c>
    </row>
    <row r="328" spans="1:10" s="203" customFormat="1" x14ac:dyDescent="0.2">
      <c r="A328" s="215">
        <v>42452</v>
      </c>
      <c r="B328" s="216" t="s">
        <v>127</v>
      </c>
      <c r="C328" s="203" t="s">
        <v>151</v>
      </c>
      <c r="D328" s="59">
        <v>376235651993</v>
      </c>
      <c r="E328" s="68">
        <v>226401</v>
      </c>
      <c r="F328" s="217"/>
      <c r="G328" s="227">
        <f>33.44+198.36</f>
        <v>231.8</v>
      </c>
      <c r="H328" s="223" t="s">
        <v>557</v>
      </c>
      <c r="J328" s="253" t="s">
        <v>246</v>
      </c>
    </row>
    <row r="329" spans="1:10" s="203" customFormat="1" x14ac:dyDescent="0.2">
      <c r="A329" s="215">
        <v>42453</v>
      </c>
      <c r="B329" s="216" t="s">
        <v>127</v>
      </c>
      <c r="C329" s="203" t="s">
        <v>151</v>
      </c>
      <c r="D329" s="59">
        <v>376235651993</v>
      </c>
      <c r="E329" s="68">
        <v>226401</v>
      </c>
      <c r="F329" s="217"/>
      <c r="G329" s="227">
        <f>11.23+44.87</f>
        <v>56.099999999999994</v>
      </c>
      <c r="H329" s="223" t="s">
        <v>558</v>
      </c>
      <c r="J329" s="253" t="s">
        <v>246</v>
      </c>
    </row>
    <row r="330" spans="1:10" s="203" customFormat="1" x14ac:dyDescent="0.2">
      <c r="A330" s="215">
        <v>42453</v>
      </c>
      <c r="B330" s="216" t="s">
        <v>127</v>
      </c>
      <c r="C330" s="203" t="s">
        <v>151</v>
      </c>
      <c r="D330" s="59">
        <v>376235651993</v>
      </c>
      <c r="E330" s="68">
        <v>226401</v>
      </c>
      <c r="F330" s="217"/>
      <c r="G330" s="227">
        <f>15.82+81.08</f>
        <v>96.9</v>
      </c>
      <c r="H330" s="223" t="s">
        <v>559</v>
      </c>
      <c r="J330" s="253" t="s">
        <v>246</v>
      </c>
    </row>
    <row r="331" spans="1:10" s="203" customFormat="1" x14ac:dyDescent="0.2">
      <c r="A331" s="215">
        <v>42453</v>
      </c>
      <c r="B331" s="216" t="s">
        <v>127</v>
      </c>
      <c r="C331" s="203" t="s">
        <v>151</v>
      </c>
      <c r="D331" s="59">
        <v>376235651993</v>
      </c>
      <c r="E331" s="68">
        <v>226401</v>
      </c>
      <c r="F331" s="217"/>
      <c r="G331" s="227">
        <f>10.73+97.94</f>
        <v>108.67</v>
      </c>
      <c r="H331" s="223" t="s">
        <v>560</v>
      </c>
      <c r="J331" s="253" t="s">
        <v>246</v>
      </c>
    </row>
    <row r="332" spans="1:10" s="203" customFormat="1" x14ac:dyDescent="0.2">
      <c r="A332" s="215">
        <v>42453</v>
      </c>
      <c r="B332" s="216" t="s">
        <v>127</v>
      </c>
      <c r="C332" s="203" t="s">
        <v>151</v>
      </c>
      <c r="D332" s="59">
        <v>376235651993</v>
      </c>
      <c r="E332" s="68">
        <v>226401</v>
      </c>
      <c r="F332" s="217"/>
      <c r="G332" s="227">
        <f>20.42+87.48</f>
        <v>107.9</v>
      </c>
      <c r="H332" s="223" t="s">
        <v>561</v>
      </c>
      <c r="J332" s="253" t="s">
        <v>246</v>
      </c>
    </row>
    <row r="333" spans="1:10" s="203" customFormat="1" x14ac:dyDescent="0.2">
      <c r="A333" s="215">
        <v>42454</v>
      </c>
      <c r="B333" s="216" t="s">
        <v>127</v>
      </c>
      <c r="C333" s="203" t="s">
        <v>151</v>
      </c>
      <c r="D333" s="59">
        <v>376235651993</v>
      </c>
      <c r="E333" s="68">
        <v>226401</v>
      </c>
      <c r="F333" s="217"/>
      <c r="G333" s="227">
        <f>4.1+53.66</f>
        <v>57.76</v>
      </c>
      <c r="H333" s="223" t="s">
        <v>562</v>
      </c>
      <c r="J333" s="253" t="s">
        <v>246</v>
      </c>
    </row>
    <row r="334" spans="1:10" s="203" customFormat="1" x14ac:dyDescent="0.2">
      <c r="A334" s="215">
        <v>42454</v>
      </c>
      <c r="B334" s="216" t="s">
        <v>127</v>
      </c>
      <c r="C334" s="203" t="s">
        <v>151</v>
      </c>
      <c r="D334" s="59">
        <v>376235651993</v>
      </c>
      <c r="E334" s="68">
        <v>226401</v>
      </c>
      <c r="F334" s="217"/>
      <c r="G334" s="227">
        <f>4.62+47.19</f>
        <v>51.809999999999995</v>
      </c>
      <c r="H334" s="223" t="s">
        <v>563</v>
      </c>
      <c r="J334" s="253" t="s">
        <v>246</v>
      </c>
    </row>
    <row r="335" spans="1:10" s="203" customFormat="1" x14ac:dyDescent="0.2">
      <c r="A335" s="215">
        <v>42454</v>
      </c>
      <c r="B335" s="216" t="s">
        <v>127</v>
      </c>
      <c r="C335" s="203" t="s">
        <v>151</v>
      </c>
      <c r="D335" s="59">
        <v>376235651993</v>
      </c>
      <c r="E335" s="68">
        <v>226401</v>
      </c>
      <c r="F335" s="217"/>
      <c r="G335" s="227">
        <f>2.92+29.34</f>
        <v>32.26</v>
      </c>
      <c r="H335" s="223" t="s">
        <v>564</v>
      </c>
      <c r="J335" s="253" t="s">
        <v>246</v>
      </c>
    </row>
    <row r="336" spans="1:10" s="203" customFormat="1" x14ac:dyDescent="0.2">
      <c r="A336" s="215">
        <v>42457</v>
      </c>
      <c r="B336" s="216" t="s">
        <v>127</v>
      </c>
      <c r="C336" s="203" t="s">
        <v>151</v>
      </c>
      <c r="D336" s="59">
        <v>376235651993</v>
      </c>
      <c r="E336" s="68">
        <v>226401</v>
      </c>
      <c r="F336" s="217"/>
      <c r="G336" s="227">
        <f>10+34.9</f>
        <v>44.9</v>
      </c>
      <c r="H336" s="223" t="s">
        <v>565</v>
      </c>
      <c r="J336" s="253" t="s">
        <v>246</v>
      </c>
    </row>
    <row r="337" spans="1:10" s="203" customFormat="1" x14ac:dyDescent="0.2">
      <c r="A337" s="215">
        <v>42458</v>
      </c>
      <c r="B337" s="216" t="s">
        <v>127</v>
      </c>
      <c r="C337" s="203" t="s">
        <v>151</v>
      </c>
      <c r="D337" s="59">
        <v>376235651993</v>
      </c>
      <c r="E337" s="68">
        <v>226401</v>
      </c>
      <c r="F337" s="217"/>
      <c r="G337" s="227">
        <f>5.51+61.6</f>
        <v>67.11</v>
      </c>
      <c r="H337" s="223" t="s">
        <v>566</v>
      </c>
      <c r="J337" s="253" t="s">
        <v>246</v>
      </c>
    </row>
    <row r="338" spans="1:10" s="203" customFormat="1" x14ac:dyDescent="0.2">
      <c r="A338" s="215">
        <v>42458</v>
      </c>
      <c r="B338" s="216" t="s">
        <v>127</v>
      </c>
      <c r="C338" s="203" t="s">
        <v>151</v>
      </c>
      <c r="D338" s="59">
        <v>376235651993</v>
      </c>
      <c r="E338" s="68">
        <v>226401</v>
      </c>
      <c r="F338" s="217"/>
      <c r="G338" s="227">
        <f>30.93+62.77</f>
        <v>93.7</v>
      </c>
      <c r="H338" s="223" t="s">
        <v>567</v>
      </c>
      <c r="J338" s="253" t="s">
        <v>246</v>
      </c>
    </row>
    <row r="339" spans="1:10" s="203" customFormat="1" x14ac:dyDescent="0.2">
      <c r="A339" s="215">
        <v>42458</v>
      </c>
      <c r="B339" s="216" t="s">
        <v>127</v>
      </c>
      <c r="C339" s="203" t="s">
        <v>151</v>
      </c>
      <c r="D339" s="59">
        <v>376235651993</v>
      </c>
      <c r="E339" s="68">
        <v>226401</v>
      </c>
      <c r="F339" s="217"/>
      <c r="G339" s="227">
        <f>4.09+52.82</f>
        <v>56.91</v>
      </c>
      <c r="H339" s="223" t="s">
        <v>568</v>
      </c>
      <c r="J339" s="253" t="s">
        <v>246</v>
      </c>
    </row>
    <row r="340" spans="1:10" s="203" customFormat="1" ht="12.6" customHeight="1" x14ac:dyDescent="0.2">
      <c r="A340" s="215">
        <v>42458</v>
      </c>
      <c r="B340" s="216" t="s">
        <v>127</v>
      </c>
      <c r="C340" s="203" t="s">
        <v>151</v>
      </c>
      <c r="D340" s="59">
        <v>376235651993</v>
      </c>
      <c r="E340" s="68">
        <v>226401</v>
      </c>
      <c r="F340" s="217"/>
      <c r="G340" s="227">
        <f>10+57.9</f>
        <v>67.900000000000006</v>
      </c>
      <c r="H340" s="223" t="s">
        <v>569</v>
      </c>
      <c r="J340" s="253" t="s">
        <v>246</v>
      </c>
    </row>
    <row r="341" spans="1:10" s="203" customFormat="1" x14ac:dyDescent="0.2">
      <c r="A341" s="215">
        <v>42459</v>
      </c>
      <c r="B341" s="216" t="s">
        <v>127</v>
      </c>
      <c r="C341" s="203" t="s">
        <v>151</v>
      </c>
      <c r="D341" s="59">
        <v>376235651993</v>
      </c>
      <c r="E341" s="68">
        <v>226401</v>
      </c>
      <c r="F341" s="217"/>
      <c r="G341" s="227">
        <f>8.37+98.53</f>
        <v>106.9</v>
      </c>
      <c r="H341" s="223" t="s">
        <v>570</v>
      </c>
      <c r="J341" s="253" t="s">
        <v>246</v>
      </c>
    </row>
    <row r="342" spans="1:10" s="203" customFormat="1" x14ac:dyDescent="0.2">
      <c r="A342" s="215">
        <v>42460</v>
      </c>
      <c r="B342" s="216" t="s">
        <v>127</v>
      </c>
      <c r="C342" s="203" t="s">
        <v>151</v>
      </c>
      <c r="D342" s="59">
        <v>376235651993</v>
      </c>
      <c r="E342" s="68">
        <v>226401</v>
      </c>
      <c r="F342" s="217"/>
      <c r="G342" s="227">
        <f>4+67.9</f>
        <v>71.900000000000006</v>
      </c>
      <c r="H342" s="223" t="s">
        <v>571</v>
      </c>
      <c r="J342" s="253" t="s">
        <v>246</v>
      </c>
    </row>
    <row r="343" spans="1:10" s="203" customFormat="1" x14ac:dyDescent="0.2">
      <c r="A343" s="215">
        <v>42460</v>
      </c>
      <c r="B343" s="216" t="s">
        <v>127</v>
      </c>
      <c r="C343" s="203" t="s">
        <v>151</v>
      </c>
      <c r="D343" s="59">
        <v>376235651993</v>
      </c>
      <c r="E343" s="68">
        <v>226401</v>
      </c>
      <c r="F343" s="217"/>
      <c r="G343" s="227">
        <f>23.16+62.29</f>
        <v>85.45</v>
      </c>
      <c r="H343" s="223" t="s">
        <v>572</v>
      </c>
      <c r="J343" s="253" t="s">
        <v>246</v>
      </c>
    </row>
    <row r="344" spans="1:10" s="203" customFormat="1" x14ac:dyDescent="0.2">
      <c r="A344" s="215">
        <v>42461</v>
      </c>
      <c r="B344" s="216" t="s">
        <v>127</v>
      </c>
      <c r="C344" s="203" t="s">
        <v>151</v>
      </c>
      <c r="D344" s="59">
        <v>376235651993</v>
      </c>
      <c r="E344" s="68">
        <v>226401</v>
      </c>
      <c r="F344" s="217"/>
      <c r="G344" s="227">
        <f>10.21+43.74</f>
        <v>53.95</v>
      </c>
      <c r="H344" s="223" t="s">
        <v>573</v>
      </c>
      <c r="J344" s="253" t="s">
        <v>246</v>
      </c>
    </row>
    <row r="345" spans="1:10" s="203" customFormat="1" x14ac:dyDescent="0.2">
      <c r="A345" s="215">
        <v>42461</v>
      </c>
      <c r="B345" s="216" t="s">
        <v>127</v>
      </c>
      <c r="C345" s="203" t="s">
        <v>151</v>
      </c>
      <c r="D345" s="59">
        <v>376235651993</v>
      </c>
      <c r="E345" s="68">
        <v>226401</v>
      </c>
      <c r="F345" s="217"/>
      <c r="G345" s="227">
        <f>7.54+81.67</f>
        <v>89.210000000000008</v>
      </c>
      <c r="H345" s="223" t="s">
        <v>574</v>
      </c>
      <c r="J345" s="253" t="s">
        <v>246</v>
      </c>
    </row>
    <row r="346" spans="1:10" s="203" customFormat="1" x14ac:dyDescent="0.2">
      <c r="A346" s="215">
        <v>42461</v>
      </c>
      <c r="B346" s="216" t="s">
        <v>127</v>
      </c>
      <c r="C346" s="203" t="s">
        <v>151</v>
      </c>
      <c r="D346" s="59">
        <v>376235651993</v>
      </c>
      <c r="E346" s="68">
        <v>226401</v>
      </c>
      <c r="F346" s="217"/>
      <c r="G346" s="227">
        <f>13.86+47.09</f>
        <v>60.95</v>
      </c>
      <c r="H346" s="223" t="s">
        <v>575</v>
      </c>
      <c r="J346" s="253" t="s">
        <v>246</v>
      </c>
    </row>
    <row r="347" spans="1:10" s="203" customFormat="1" x14ac:dyDescent="0.2">
      <c r="A347" s="215">
        <v>42461</v>
      </c>
      <c r="B347" s="216" t="s">
        <v>127</v>
      </c>
      <c r="C347" s="203" t="s">
        <v>151</v>
      </c>
      <c r="D347" s="59">
        <v>376235651993</v>
      </c>
      <c r="E347" s="68">
        <v>226401</v>
      </c>
      <c r="F347" s="217"/>
      <c r="G347" s="227">
        <f>10.21+43.74</f>
        <v>53.95</v>
      </c>
      <c r="H347" s="223" t="s">
        <v>576</v>
      </c>
      <c r="J347" s="253" t="s">
        <v>246</v>
      </c>
    </row>
    <row r="348" spans="1:10" s="203" customFormat="1" x14ac:dyDescent="0.2">
      <c r="A348" s="215">
        <v>42464</v>
      </c>
      <c r="B348" s="216" t="s">
        <v>127</v>
      </c>
      <c r="C348" s="203" t="s">
        <v>151</v>
      </c>
      <c r="D348" s="59">
        <v>376235651993</v>
      </c>
      <c r="E348" s="68">
        <v>226401</v>
      </c>
      <c r="F348" s="217"/>
      <c r="G348" s="227">
        <f>5.12+62.69</f>
        <v>67.81</v>
      </c>
      <c r="H348" s="223" t="s">
        <v>577</v>
      </c>
      <c r="J348" s="253" t="s">
        <v>246</v>
      </c>
    </row>
    <row r="349" spans="1:10" s="203" customFormat="1" x14ac:dyDescent="0.2">
      <c r="A349" s="215">
        <v>42464</v>
      </c>
      <c r="B349" s="216" t="s">
        <v>127</v>
      </c>
      <c r="C349" s="203" t="s">
        <v>151</v>
      </c>
      <c r="D349" s="59">
        <v>376235651993</v>
      </c>
      <c r="E349" s="68">
        <v>226401</v>
      </c>
      <c r="F349" s="217"/>
      <c r="G349" s="227">
        <f>4.74+59.82</f>
        <v>64.56</v>
      </c>
      <c r="H349" s="223" t="s">
        <v>578</v>
      </c>
      <c r="J349" s="253" t="s">
        <v>246</v>
      </c>
    </row>
    <row r="350" spans="1:10" s="203" customFormat="1" x14ac:dyDescent="0.2">
      <c r="A350" s="215">
        <v>42466</v>
      </c>
      <c r="B350" s="216" t="s">
        <v>127</v>
      </c>
      <c r="C350" s="203" t="s">
        <v>151</v>
      </c>
      <c r="D350" s="59">
        <v>376235651993</v>
      </c>
      <c r="E350" s="68">
        <v>226401</v>
      </c>
      <c r="F350" s="217"/>
      <c r="G350" s="227">
        <f>41.02+202.88</f>
        <v>243.9</v>
      </c>
      <c r="H350" s="223" t="s">
        <v>579</v>
      </c>
      <c r="J350" s="253" t="s">
        <v>246</v>
      </c>
    </row>
    <row r="351" spans="1:10" s="203" customFormat="1" x14ac:dyDescent="0.2">
      <c r="A351" s="215">
        <v>42467</v>
      </c>
      <c r="B351" s="216" t="s">
        <v>127</v>
      </c>
      <c r="C351" s="203" t="s">
        <v>151</v>
      </c>
      <c r="D351" s="59">
        <v>376235651993</v>
      </c>
      <c r="E351" s="68">
        <v>226401</v>
      </c>
      <c r="F351" s="217"/>
      <c r="G351" s="227">
        <f>7.96+48.99</f>
        <v>56.95</v>
      </c>
      <c r="H351" s="223" t="s">
        <v>580</v>
      </c>
      <c r="J351" s="253" t="s">
        <v>246</v>
      </c>
    </row>
    <row r="352" spans="1:10" s="203" customFormat="1" x14ac:dyDescent="0.2">
      <c r="A352" s="215">
        <v>42467</v>
      </c>
      <c r="B352" s="216" t="s">
        <v>127</v>
      </c>
      <c r="C352" s="203" t="s">
        <v>151</v>
      </c>
      <c r="D352" s="59">
        <v>376235651993</v>
      </c>
      <c r="E352" s="68">
        <v>226401</v>
      </c>
      <c r="F352" s="217"/>
      <c r="G352" s="227">
        <f>10+59.9</f>
        <v>69.900000000000006</v>
      </c>
      <c r="H352" s="223" t="s">
        <v>581</v>
      </c>
      <c r="J352" s="253" t="s">
        <v>246</v>
      </c>
    </row>
    <row r="353" spans="1:10" s="203" customFormat="1" x14ac:dyDescent="0.2">
      <c r="A353" s="215">
        <v>42467</v>
      </c>
      <c r="B353" s="216" t="s">
        <v>127</v>
      </c>
      <c r="C353" s="203" t="s">
        <v>151</v>
      </c>
      <c r="D353" s="59">
        <v>376235651993</v>
      </c>
      <c r="E353" s="68">
        <v>226401</v>
      </c>
      <c r="F353" s="217"/>
      <c r="G353" s="227">
        <f>4.77+60.64</f>
        <v>65.41</v>
      </c>
      <c r="H353" s="223" t="s">
        <v>582</v>
      </c>
      <c r="J353" s="253" t="s">
        <v>246</v>
      </c>
    </row>
    <row r="354" spans="1:10" s="203" customFormat="1" x14ac:dyDescent="0.2">
      <c r="A354" s="215">
        <v>42468</v>
      </c>
      <c r="B354" s="216" t="s">
        <v>127</v>
      </c>
      <c r="C354" s="203" t="s">
        <v>151</v>
      </c>
      <c r="D354" s="59">
        <v>376235651993</v>
      </c>
      <c r="E354" s="68">
        <v>226401</v>
      </c>
      <c r="F354" s="217"/>
      <c r="G354" s="227">
        <f>4.57+57.38</f>
        <v>61.95</v>
      </c>
      <c r="H354" s="223" t="s">
        <v>583</v>
      </c>
      <c r="J354" s="253" t="s">
        <v>246</v>
      </c>
    </row>
    <row r="355" spans="1:10" s="203" customFormat="1" x14ac:dyDescent="0.2">
      <c r="A355" s="215">
        <v>42471</v>
      </c>
      <c r="B355" s="216" t="s">
        <v>127</v>
      </c>
      <c r="C355" s="203" t="s">
        <v>151</v>
      </c>
      <c r="D355" s="59">
        <v>376235651993</v>
      </c>
      <c r="E355" s="68">
        <v>226401</v>
      </c>
      <c r="F355" s="217"/>
      <c r="G355" s="227">
        <f>23.21+50.74</f>
        <v>73.95</v>
      </c>
      <c r="H355" s="223" t="s">
        <v>584</v>
      </c>
      <c r="J355" s="253" t="s">
        <v>246</v>
      </c>
    </row>
    <row r="356" spans="1:10" s="203" customFormat="1" x14ac:dyDescent="0.2">
      <c r="A356" s="215">
        <v>42471</v>
      </c>
      <c r="B356" s="216" t="s">
        <v>127</v>
      </c>
      <c r="C356" s="203" t="s">
        <v>151</v>
      </c>
      <c r="D356" s="59">
        <v>376235651993</v>
      </c>
      <c r="E356" s="68">
        <v>226401</v>
      </c>
      <c r="F356" s="217"/>
      <c r="G356" s="227">
        <f>2.9+31.06</f>
        <v>33.96</v>
      </c>
      <c r="H356" s="223" t="s">
        <v>585</v>
      </c>
      <c r="J356" s="253" t="s">
        <v>246</v>
      </c>
    </row>
    <row r="357" spans="1:10" s="203" customFormat="1" x14ac:dyDescent="0.2">
      <c r="A357" s="215">
        <v>42471</v>
      </c>
      <c r="B357" s="216" t="s">
        <v>127</v>
      </c>
      <c r="C357" s="203" t="s">
        <v>151</v>
      </c>
      <c r="D357" s="59">
        <v>376235651993</v>
      </c>
      <c r="E357" s="68">
        <v>226401</v>
      </c>
      <c r="F357" s="217"/>
      <c r="G357" s="227">
        <f>34.94+148.98</f>
        <v>183.92</v>
      </c>
      <c r="H357" s="223" t="s">
        <v>586</v>
      </c>
      <c r="J357" s="253" t="s">
        <v>246</v>
      </c>
    </row>
    <row r="358" spans="1:10" s="203" customFormat="1" x14ac:dyDescent="0.2">
      <c r="A358" s="215">
        <v>42471</v>
      </c>
      <c r="B358" s="216" t="s">
        <v>127</v>
      </c>
      <c r="C358" s="203" t="s">
        <v>151</v>
      </c>
      <c r="D358" s="59">
        <v>376235651993</v>
      </c>
      <c r="E358" s="68">
        <v>226401</v>
      </c>
      <c r="F358" s="217"/>
      <c r="G358" s="227">
        <f>65.94+216.02</f>
        <v>281.96000000000004</v>
      </c>
      <c r="H358" s="223" t="s">
        <v>587</v>
      </c>
      <c r="J358" s="253" t="s">
        <v>246</v>
      </c>
    </row>
    <row r="359" spans="1:10" s="203" customFormat="1" x14ac:dyDescent="0.2">
      <c r="A359" s="215">
        <v>42471</v>
      </c>
      <c r="B359" s="216" t="s">
        <v>127</v>
      </c>
      <c r="C359" s="203" t="s">
        <v>151</v>
      </c>
      <c r="D359" s="59">
        <v>376235651993</v>
      </c>
      <c r="E359" s="68">
        <v>226401</v>
      </c>
      <c r="F359" s="217"/>
      <c r="G359" s="227">
        <f>4.5+9.5</f>
        <v>14</v>
      </c>
      <c r="H359" s="223" t="s">
        <v>588</v>
      </c>
      <c r="J359" s="253" t="s">
        <v>246</v>
      </c>
    </row>
    <row r="360" spans="1:10" s="203" customFormat="1" x14ac:dyDescent="0.2">
      <c r="A360" s="215">
        <v>42472</v>
      </c>
      <c r="B360" s="216" t="s">
        <v>127</v>
      </c>
      <c r="C360" s="203" t="s">
        <v>151</v>
      </c>
      <c r="D360" s="59">
        <v>376235651993</v>
      </c>
      <c r="E360" s="68">
        <v>226401</v>
      </c>
      <c r="F360" s="217"/>
      <c r="G360" s="227">
        <f>3.83+60.58</f>
        <v>64.41</v>
      </c>
      <c r="H360" s="223" t="s">
        <v>589</v>
      </c>
      <c r="J360" s="253" t="s">
        <v>246</v>
      </c>
    </row>
    <row r="361" spans="1:10" s="203" customFormat="1" x14ac:dyDescent="0.2">
      <c r="A361" s="215">
        <v>42472</v>
      </c>
      <c r="B361" s="216" t="s">
        <v>127</v>
      </c>
      <c r="C361" s="203" t="s">
        <v>151</v>
      </c>
      <c r="D361" s="59">
        <v>376235651993</v>
      </c>
      <c r="E361" s="68">
        <v>226401</v>
      </c>
      <c r="F361" s="217"/>
      <c r="G361" s="227">
        <f>20.49+86.71</f>
        <v>107.19999999999999</v>
      </c>
      <c r="H361" s="223" t="s">
        <v>590</v>
      </c>
      <c r="J361" s="253" t="s">
        <v>246</v>
      </c>
    </row>
    <row r="362" spans="1:10" s="203" customFormat="1" x14ac:dyDescent="0.2">
      <c r="A362" s="215">
        <v>42472</v>
      </c>
      <c r="B362" s="216" t="s">
        <v>127</v>
      </c>
      <c r="C362" s="203" t="s">
        <v>151</v>
      </c>
      <c r="D362" s="59">
        <v>376235651993</v>
      </c>
      <c r="E362" s="68">
        <v>226401</v>
      </c>
      <c r="F362" s="217"/>
      <c r="G362" s="227">
        <f>1.67+30.18</f>
        <v>31.85</v>
      </c>
      <c r="H362" s="223" t="s">
        <v>591</v>
      </c>
      <c r="J362" s="253" t="s">
        <v>246</v>
      </c>
    </row>
    <row r="363" spans="1:10" s="203" customFormat="1" x14ac:dyDescent="0.2">
      <c r="A363" s="215">
        <v>42474</v>
      </c>
      <c r="B363" s="216" t="s">
        <v>127</v>
      </c>
      <c r="C363" s="203" t="s">
        <v>151</v>
      </c>
      <c r="D363" s="59">
        <v>376235651993</v>
      </c>
      <c r="E363" s="68">
        <v>226401</v>
      </c>
      <c r="F363" s="217"/>
      <c r="G363" s="227">
        <f>3.35+83.05</f>
        <v>86.399999999999991</v>
      </c>
      <c r="H363" s="223" t="s">
        <v>592</v>
      </c>
      <c r="J363" s="253" t="s">
        <v>246</v>
      </c>
    </row>
    <row r="364" spans="1:10" s="203" customFormat="1" x14ac:dyDescent="0.2">
      <c r="A364" s="215">
        <v>42474</v>
      </c>
      <c r="B364" s="216" t="s">
        <v>127</v>
      </c>
      <c r="C364" s="203" t="s">
        <v>151</v>
      </c>
      <c r="D364" s="59">
        <v>376235651993</v>
      </c>
      <c r="E364" s="68">
        <v>226401</v>
      </c>
      <c r="F364" s="217"/>
      <c r="G364" s="227">
        <f>4.1+53.66</f>
        <v>57.76</v>
      </c>
      <c r="H364" s="223" t="s">
        <v>593</v>
      </c>
      <c r="J364" s="253" t="s">
        <v>246</v>
      </c>
    </row>
    <row r="365" spans="1:10" s="203" customFormat="1" x14ac:dyDescent="0.2">
      <c r="A365" s="215">
        <v>42475</v>
      </c>
      <c r="B365" s="216" t="s">
        <v>127</v>
      </c>
      <c r="C365" s="203" t="s">
        <v>151</v>
      </c>
      <c r="D365" s="59">
        <v>376235651993</v>
      </c>
      <c r="E365" s="68">
        <v>226401</v>
      </c>
      <c r="F365" s="217"/>
      <c r="G365" s="227">
        <v>49.95</v>
      </c>
      <c r="H365" s="223" t="s">
        <v>594</v>
      </c>
      <c r="J365" s="253" t="s">
        <v>246</v>
      </c>
    </row>
    <row r="366" spans="1:10" s="203" customFormat="1" x14ac:dyDescent="0.2">
      <c r="A366" s="215">
        <v>42478</v>
      </c>
      <c r="B366" s="216" t="s">
        <v>127</v>
      </c>
      <c r="C366" s="203" t="s">
        <v>151</v>
      </c>
      <c r="D366" s="59">
        <v>376235651993</v>
      </c>
      <c r="E366" s="68">
        <v>226401</v>
      </c>
      <c r="F366" s="217"/>
      <c r="G366" s="227">
        <f>4.09+52.82</f>
        <v>56.91</v>
      </c>
      <c r="H366" s="223" t="s">
        <v>595</v>
      </c>
      <c r="J366" s="253" t="s">
        <v>246</v>
      </c>
    </row>
    <row r="367" spans="1:10" s="203" customFormat="1" x14ac:dyDescent="0.2">
      <c r="A367" s="215">
        <v>42478</v>
      </c>
      <c r="B367" s="216" t="s">
        <v>127</v>
      </c>
      <c r="C367" s="203" t="s">
        <v>151</v>
      </c>
      <c r="D367" s="59">
        <v>376235651993</v>
      </c>
      <c r="E367" s="68">
        <v>226401</v>
      </c>
      <c r="F367" s="217"/>
      <c r="G367" s="227">
        <f>3.93+28.33</f>
        <v>32.26</v>
      </c>
      <c r="H367" s="223" t="s">
        <v>596</v>
      </c>
      <c r="J367" s="253" t="s">
        <v>246</v>
      </c>
    </row>
    <row r="368" spans="1:10" s="203" customFormat="1" x14ac:dyDescent="0.2">
      <c r="A368" s="215">
        <v>42478</v>
      </c>
      <c r="B368" s="216" t="s">
        <v>127</v>
      </c>
      <c r="C368" s="203" t="s">
        <v>151</v>
      </c>
      <c r="D368" s="59">
        <v>376235651993</v>
      </c>
      <c r="E368" s="68">
        <v>226401</v>
      </c>
      <c r="F368" s="217"/>
      <c r="G368" s="227">
        <f>4.45+43.15</f>
        <v>47.6</v>
      </c>
      <c r="H368" s="223" t="s">
        <v>597</v>
      </c>
      <c r="J368" s="253" t="s">
        <v>246</v>
      </c>
    </row>
    <row r="369" spans="1:34" s="203" customFormat="1" x14ac:dyDescent="0.2">
      <c r="A369" s="215">
        <v>42478</v>
      </c>
      <c r="B369" s="216" t="s">
        <v>127</v>
      </c>
      <c r="C369" s="203" t="s">
        <v>151</v>
      </c>
      <c r="D369" s="59">
        <v>376235651993</v>
      </c>
      <c r="E369" s="68">
        <v>226401</v>
      </c>
      <c r="F369" s="217"/>
      <c r="G369" s="227">
        <f>5.51+61.6</f>
        <v>67.11</v>
      </c>
      <c r="H369" s="223" t="s">
        <v>598</v>
      </c>
      <c r="J369" s="253" t="s">
        <v>246</v>
      </c>
    </row>
    <row r="370" spans="1:34" s="203" customFormat="1" x14ac:dyDescent="0.2">
      <c r="A370" s="215">
        <v>42478</v>
      </c>
      <c r="B370" s="216" t="s">
        <v>127</v>
      </c>
      <c r="C370" s="203" t="s">
        <v>151</v>
      </c>
      <c r="D370" s="59">
        <v>376235651993</v>
      </c>
      <c r="E370" s="68">
        <v>226401</v>
      </c>
      <c r="F370" s="217"/>
      <c r="G370" s="227">
        <f>18.01+32.94</f>
        <v>50.95</v>
      </c>
      <c r="H370" s="223" t="s">
        <v>599</v>
      </c>
      <c r="J370" s="253" t="s">
        <v>246</v>
      </c>
    </row>
    <row r="371" spans="1:34" s="203" customFormat="1" x14ac:dyDescent="0.2">
      <c r="A371" s="215">
        <v>42478</v>
      </c>
      <c r="B371" s="216" t="s">
        <v>127</v>
      </c>
      <c r="C371" s="203" t="s">
        <v>151</v>
      </c>
      <c r="D371" s="59">
        <v>376235651993</v>
      </c>
      <c r="E371" s="68">
        <v>226401</v>
      </c>
      <c r="F371" s="217"/>
      <c r="G371" s="227">
        <f>4.1+75.4</f>
        <v>79.5</v>
      </c>
      <c r="H371" s="223" t="s">
        <v>600</v>
      </c>
      <c r="J371" s="253" t="s">
        <v>246</v>
      </c>
    </row>
    <row r="372" spans="1:34" s="203" customFormat="1" x14ac:dyDescent="0.2">
      <c r="A372" s="215">
        <v>42479</v>
      </c>
      <c r="B372" s="216" t="s">
        <v>127</v>
      </c>
      <c r="C372" s="203" t="s">
        <v>151</v>
      </c>
      <c r="D372" s="59">
        <v>376235651993</v>
      </c>
      <c r="E372" s="68">
        <v>226401</v>
      </c>
      <c r="F372" s="217"/>
      <c r="G372" s="218">
        <f>7.75+94.21</f>
        <v>101.96</v>
      </c>
      <c r="H372" s="223" t="s">
        <v>601</v>
      </c>
      <c r="J372" s="253" t="s">
        <v>246</v>
      </c>
    </row>
    <row r="373" spans="1:34" s="203" customFormat="1" x14ac:dyDescent="0.2">
      <c r="A373" s="215">
        <v>42482</v>
      </c>
      <c r="B373" s="216" t="s">
        <v>127</v>
      </c>
      <c r="C373" s="203" t="s">
        <v>151</v>
      </c>
      <c r="D373" s="59">
        <v>376235651993</v>
      </c>
      <c r="E373" s="68">
        <v>226401</v>
      </c>
      <c r="F373" s="217"/>
      <c r="G373" s="218">
        <f>24.12+96.83</f>
        <v>120.95</v>
      </c>
      <c r="H373" s="223" t="s">
        <v>602</v>
      </c>
      <c r="J373" s="253" t="s">
        <v>246</v>
      </c>
    </row>
    <row r="374" spans="1:34" s="203" customFormat="1" x14ac:dyDescent="0.2">
      <c r="A374" s="215">
        <v>42482</v>
      </c>
      <c r="B374" s="216" t="s">
        <v>127</v>
      </c>
      <c r="C374" s="203" t="s">
        <v>151</v>
      </c>
      <c r="D374" s="59">
        <v>376235651993</v>
      </c>
      <c r="E374" s="68">
        <v>226401</v>
      </c>
      <c r="F374" s="217"/>
      <c r="G374" s="218">
        <f>1.91+48.04</f>
        <v>49.949999999999996</v>
      </c>
      <c r="H374" s="223" t="s">
        <v>603</v>
      </c>
      <c r="J374" s="253" t="s">
        <v>246</v>
      </c>
    </row>
    <row r="375" spans="1:34" s="203" customFormat="1" x14ac:dyDescent="0.2">
      <c r="A375" s="215">
        <v>42486</v>
      </c>
      <c r="B375" s="216" t="s">
        <v>127</v>
      </c>
      <c r="C375" s="203" t="s">
        <v>151</v>
      </c>
      <c r="D375" s="59">
        <v>376235651993</v>
      </c>
      <c r="E375" s="68">
        <v>226401</v>
      </c>
      <c r="F375" s="217"/>
      <c r="G375" s="218">
        <f>3.76+36.15</f>
        <v>39.909999999999997</v>
      </c>
      <c r="H375" s="223" t="s">
        <v>604</v>
      </c>
      <c r="J375" s="253" t="s">
        <v>246</v>
      </c>
    </row>
    <row r="376" spans="1:34" s="203" customFormat="1" x14ac:dyDescent="0.2">
      <c r="A376" s="215">
        <v>42487</v>
      </c>
      <c r="B376" s="216" t="s">
        <v>127</v>
      </c>
      <c r="C376" s="203" t="s">
        <v>151</v>
      </c>
      <c r="D376" s="59">
        <v>376235651993</v>
      </c>
      <c r="E376" s="68">
        <v>226401</v>
      </c>
      <c r="F376" s="217"/>
      <c r="G376" s="218">
        <f>10+73.9</f>
        <v>83.9</v>
      </c>
      <c r="H376" s="223" t="s">
        <v>605</v>
      </c>
      <c r="J376" s="253" t="s">
        <v>246</v>
      </c>
    </row>
    <row r="377" spans="1:34" s="203" customFormat="1" x14ac:dyDescent="0.2">
      <c r="A377" s="215">
        <v>42488</v>
      </c>
      <c r="B377" s="216" t="s">
        <v>127</v>
      </c>
      <c r="C377" s="203" t="s">
        <v>151</v>
      </c>
      <c r="D377" s="59">
        <v>376235651993</v>
      </c>
      <c r="E377" s="68">
        <v>226401</v>
      </c>
      <c r="F377" s="217"/>
      <c r="G377" s="218">
        <f>4.1+53.66</f>
        <v>57.76</v>
      </c>
      <c r="H377" s="223" t="s">
        <v>606</v>
      </c>
      <c r="J377" s="253" t="s">
        <v>246</v>
      </c>
    </row>
    <row r="378" spans="1:34" s="203" customFormat="1" x14ac:dyDescent="0.2">
      <c r="A378" s="215">
        <v>42488</v>
      </c>
      <c r="B378" s="216" t="s">
        <v>127</v>
      </c>
      <c r="C378" s="203" t="s">
        <v>151</v>
      </c>
      <c r="D378" s="59">
        <v>376235651993</v>
      </c>
      <c r="E378" s="68">
        <v>226401</v>
      </c>
      <c r="F378" s="217"/>
      <c r="G378" s="218">
        <f>4+67.9</f>
        <v>71.900000000000006</v>
      </c>
      <c r="H378" s="223" t="s">
        <v>607</v>
      </c>
      <c r="J378" s="253" t="s">
        <v>246</v>
      </c>
    </row>
    <row r="379" spans="1:34" s="203" customFormat="1" x14ac:dyDescent="0.2">
      <c r="A379" s="215">
        <v>42489</v>
      </c>
      <c r="B379" s="216" t="s">
        <v>127</v>
      </c>
      <c r="C379" s="203" t="s">
        <v>151</v>
      </c>
      <c r="D379" s="59">
        <v>376235651993</v>
      </c>
      <c r="E379" s="68">
        <v>226401</v>
      </c>
      <c r="F379" s="217"/>
      <c r="G379" s="218">
        <f>2.92+29.34</f>
        <v>32.26</v>
      </c>
      <c r="H379" s="223" t="s">
        <v>608</v>
      </c>
      <c r="J379" s="253" t="s">
        <v>246</v>
      </c>
    </row>
    <row r="380" spans="1:34" s="203" customFormat="1" x14ac:dyDescent="0.2">
      <c r="A380" s="215">
        <v>42489</v>
      </c>
      <c r="B380" s="216" t="s">
        <v>127</v>
      </c>
      <c r="C380" s="203" t="s">
        <v>151</v>
      </c>
      <c r="D380" s="59">
        <v>376235651993</v>
      </c>
      <c r="E380" s="68">
        <v>226401</v>
      </c>
      <c r="F380" s="217"/>
      <c r="G380" s="218">
        <f>11.21+28.74</f>
        <v>39.950000000000003</v>
      </c>
      <c r="H380" s="223" t="s">
        <v>609</v>
      </c>
      <c r="J380" s="253" t="s">
        <v>246</v>
      </c>
    </row>
    <row r="381" spans="1:34" x14ac:dyDescent="0.2">
      <c r="A381" s="214">
        <v>42436</v>
      </c>
      <c r="B381" s="20" t="s">
        <v>127</v>
      </c>
      <c r="C381" s="19"/>
      <c r="D381" s="56">
        <v>376244923995</v>
      </c>
      <c r="E381" s="29">
        <v>226743</v>
      </c>
      <c r="F381" s="120"/>
      <c r="G381" s="141">
        <v>13.5</v>
      </c>
      <c r="H381" s="134" t="s">
        <v>610</v>
      </c>
      <c r="I381" s="19"/>
      <c r="J381" s="124" t="s">
        <v>320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x14ac:dyDescent="0.2">
      <c r="A382" s="213">
        <v>42464</v>
      </c>
      <c r="B382" s="115" t="s">
        <v>127</v>
      </c>
      <c r="D382" s="121" t="s">
        <v>193</v>
      </c>
      <c r="E382" s="113">
        <v>226743</v>
      </c>
      <c r="F382" s="121"/>
      <c r="G382" s="122">
        <v>13.5</v>
      </c>
      <c r="H382" s="117">
        <v>1870230</v>
      </c>
      <c r="J382" s="142" t="s">
        <v>320</v>
      </c>
    </row>
    <row r="383" spans="1:34" x14ac:dyDescent="0.2">
      <c r="A383" s="214">
        <v>42437</v>
      </c>
      <c r="B383" s="20" t="s">
        <v>127</v>
      </c>
      <c r="C383" s="19"/>
      <c r="D383" s="56">
        <v>376248850996</v>
      </c>
      <c r="E383" s="29">
        <v>226859</v>
      </c>
      <c r="F383" s="120"/>
      <c r="G383" s="141">
        <f>5.39+61.72</f>
        <v>67.11</v>
      </c>
      <c r="H383" s="134" t="s">
        <v>611</v>
      </c>
      <c r="I383" s="19"/>
      <c r="J383" s="124" t="s">
        <v>485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x14ac:dyDescent="0.2">
      <c r="A384" s="214">
        <v>42437</v>
      </c>
      <c r="B384" s="20" t="s">
        <v>127</v>
      </c>
      <c r="C384" s="19"/>
      <c r="D384" s="56">
        <v>376248850996</v>
      </c>
      <c r="E384" s="29">
        <v>226859</v>
      </c>
      <c r="F384" s="120"/>
      <c r="G384" s="141">
        <f>13.03+9.92</f>
        <v>22.95</v>
      </c>
      <c r="H384" s="134" t="s">
        <v>612</v>
      </c>
      <c r="I384" s="19"/>
      <c r="J384" s="124" t="s">
        <v>485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x14ac:dyDescent="0.2">
      <c r="A385" s="213">
        <v>42431</v>
      </c>
      <c r="B385" s="20" t="s">
        <v>127</v>
      </c>
      <c r="C385" s="130"/>
      <c r="D385" s="60">
        <v>616344</v>
      </c>
      <c r="E385" s="29">
        <v>226902</v>
      </c>
      <c r="F385" s="121"/>
      <c r="G385" s="122">
        <f>22.26+37.29</f>
        <v>59.55</v>
      </c>
      <c r="H385" s="131" t="s">
        <v>613</v>
      </c>
      <c r="J385" s="168" t="s">
        <v>485</v>
      </c>
    </row>
    <row r="386" spans="1:34" x14ac:dyDescent="0.2">
      <c r="A386" s="213">
        <v>42431</v>
      </c>
      <c r="B386" s="20" t="s">
        <v>127</v>
      </c>
      <c r="C386" s="130"/>
      <c r="D386" s="60">
        <v>616344</v>
      </c>
      <c r="E386" s="29">
        <v>226902</v>
      </c>
      <c r="F386" s="121"/>
      <c r="G386" s="122">
        <f>10+56.9</f>
        <v>66.900000000000006</v>
      </c>
      <c r="H386" s="131" t="s">
        <v>614</v>
      </c>
      <c r="J386" s="168" t="s">
        <v>485</v>
      </c>
    </row>
    <row r="387" spans="1:34" x14ac:dyDescent="0.2">
      <c r="A387" s="214">
        <v>42437</v>
      </c>
      <c r="B387" s="20" t="s">
        <v>127</v>
      </c>
      <c r="C387" s="19"/>
      <c r="D387" s="56">
        <v>616344</v>
      </c>
      <c r="E387" s="29">
        <v>226902</v>
      </c>
      <c r="F387" s="120"/>
      <c r="G387" s="141">
        <f>24.12+97.83</f>
        <v>121.95</v>
      </c>
      <c r="H387" s="134" t="s">
        <v>615</v>
      </c>
      <c r="I387" s="19"/>
      <c r="J387" s="124" t="s">
        <v>485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x14ac:dyDescent="0.2">
      <c r="A388" s="214">
        <v>42437</v>
      </c>
      <c r="B388" s="20" t="s">
        <v>127</v>
      </c>
      <c r="C388" s="19"/>
      <c r="D388" s="56">
        <v>616344</v>
      </c>
      <c r="E388" s="29">
        <v>226902</v>
      </c>
      <c r="F388" s="120"/>
      <c r="G388" s="141">
        <f>33.65+202.3</f>
        <v>235.95000000000002</v>
      </c>
      <c r="H388" s="134" t="s">
        <v>616</v>
      </c>
      <c r="I388" s="19"/>
      <c r="J388" s="124" t="s">
        <v>485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x14ac:dyDescent="0.2">
      <c r="A389" s="213">
        <v>42445</v>
      </c>
      <c r="B389" s="20" t="s">
        <v>127</v>
      </c>
      <c r="C389" s="130"/>
      <c r="D389" s="60">
        <v>616344</v>
      </c>
      <c r="E389" s="113">
        <v>226902</v>
      </c>
      <c r="F389" s="121"/>
      <c r="G389" s="122">
        <f>17.56+40.39</f>
        <v>57.95</v>
      </c>
      <c r="H389" s="134" t="s">
        <v>617</v>
      </c>
      <c r="J389" s="124" t="s">
        <v>485</v>
      </c>
    </row>
    <row r="390" spans="1:34" x14ac:dyDescent="0.2">
      <c r="A390" s="213">
        <v>42445</v>
      </c>
      <c r="B390" s="20" t="s">
        <v>127</v>
      </c>
      <c r="C390" s="130"/>
      <c r="D390" s="60">
        <v>616344</v>
      </c>
      <c r="E390" s="113">
        <v>226902</v>
      </c>
      <c r="F390" s="121"/>
      <c r="G390" s="122">
        <f>3.97+17.98</f>
        <v>21.95</v>
      </c>
      <c r="H390" s="134" t="s">
        <v>618</v>
      </c>
      <c r="J390" s="124" t="s">
        <v>485</v>
      </c>
    </row>
    <row r="391" spans="1:34" x14ac:dyDescent="0.2">
      <c r="A391" s="213">
        <v>42446</v>
      </c>
      <c r="B391" s="20" t="s">
        <v>127</v>
      </c>
      <c r="C391" s="130"/>
      <c r="D391" s="60">
        <v>616344</v>
      </c>
      <c r="E391" s="113">
        <v>226902</v>
      </c>
      <c r="F391" s="121"/>
      <c r="G391" s="122">
        <f>28.71+68.24</f>
        <v>96.949999999999989</v>
      </c>
      <c r="H391" s="134" t="s">
        <v>619</v>
      </c>
      <c r="J391" s="124" t="s">
        <v>485</v>
      </c>
    </row>
    <row r="392" spans="1:34" x14ac:dyDescent="0.2">
      <c r="A392" s="213">
        <v>42447</v>
      </c>
      <c r="B392" s="20" t="s">
        <v>127</v>
      </c>
      <c r="C392" s="130"/>
      <c r="D392" s="60">
        <v>616344</v>
      </c>
      <c r="E392" s="113">
        <v>226902</v>
      </c>
      <c r="F392" s="121"/>
      <c r="G392" s="122">
        <f>12.83+25.62</f>
        <v>38.450000000000003</v>
      </c>
      <c r="H392" s="134" t="s">
        <v>620</v>
      </c>
      <c r="J392" s="124" t="s">
        <v>485</v>
      </c>
    </row>
    <row r="393" spans="1:34" x14ac:dyDescent="0.2">
      <c r="A393" s="213">
        <v>42430</v>
      </c>
      <c r="B393" s="20" t="s">
        <v>127</v>
      </c>
      <c r="C393" s="130"/>
      <c r="D393" s="60">
        <v>376255822995</v>
      </c>
      <c r="E393" s="29">
        <v>350107</v>
      </c>
      <c r="F393" s="121"/>
      <c r="G393" s="122">
        <f>2.5+30.35</f>
        <v>32.85</v>
      </c>
      <c r="H393" s="131" t="s">
        <v>621</v>
      </c>
      <c r="J393" s="168" t="s">
        <v>305</v>
      </c>
    </row>
    <row r="394" spans="1:34" x14ac:dyDescent="0.2">
      <c r="A394" s="213">
        <v>42429</v>
      </c>
      <c r="B394" s="20" t="s">
        <v>127</v>
      </c>
      <c r="C394" s="130"/>
      <c r="D394" s="60">
        <v>376255822995</v>
      </c>
      <c r="E394" s="29">
        <v>350107</v>
      </c>
      <c r="F394" s="121"/>
      <c r="G394" s="122">
        <f>4.4+23.55</f>
        <v>27.950000000000003</v>
      </c>
      <c r="H394" s="131" t="s">
        <v>622</v>
      </c>
      <c r="J394" s="168" t="s">
        <v>305</v>
      </c>
    </row>
    <row r="395" spans="1:34" x14ac:dyDescent="0.2">
      <c r="A395" s="213">
        <v>42429</v>
      </c>
      <c r="B395" s="20" t="s">
        <v>127</v>
      </c>
      <c r="C395" s="130"/>
      <c r="D395" s="60">
        <v>376255822995</v>
      </c>
      <c r="E395" s="113">
        <v>350107</v>
      </c>
      <c r="F395" s="121"/>
      <c r="G395" s="122">
        <f>73.75+11.84</f>
        <v>85.59</v>
      </c>
      <c r="H395" s="134" t="s">
        <v>623</v>
      </c>
      <c r="J395" s="168" t="s">
        <v>305</v>
      </c>
    </row>
    <row r="396" spans="1:34" x14ac:dyDescent="0.2">
      <c r="A396" s="213">
        <v>42429</v>
      </c>
      <c r="B396" s="20" t="s">
        <v>127</v>
      </c>
      <c r="C396" s="130"/>
      <c r="D396" s="60">
        <v>376255822995</v>
      </c>
      <c r="E396" s="113">
        <v>350107</v>
      </c>
      <c r="F396" s="121"/>
      <c r="G396" s="122">
        <f>360.35+78.55</f>
        <v>438.90000000000003</v>
      </c>
      <c r="H396" s="134" t="s">
        <v>624</v>
      </c>
      <c r="J396" s="168" t="s">
        <v>305</v>
      </c>
    </row>
    <row r="397" spans="1:34" s="203" customFormat="1" x14ac:dyDescent="0.2">
      <c r="A397" s="215">
        <v>42429</v>
      </c>
      <c r="B397" s="216" t="s">
        <v>127</v>
      </c>
      <c r="C397" s="203" t="s">
        <v>151</v>
      </c>
      <c r="D397" s="59">
        <v>376255822995</v>
      </c>
      <c r="E397" s="68">
        <v>350107</v>
      </c>
      <c r="F397" s="217"/>
      <c r="G397" s="218">
        <f>12.71+45.24</f>
        <v>57.95</v>
      </c>
      <c r="H397" s="223" t="s">
        <v>625</v>
      </c>
      <c r="J397" s="219" t="s">
        <v>626</v>
      </c>
    </row>
    <row r="398" spans="1:34" s="203" customFormat="1" x14ac:dyDescent="0.2">
      <c r="A398" s="215">
        <v>42429</v>
      </c>
      <c r="B398" s="216" t="s">
        <v>127</v>
      </c>
      <c r="C398" s="203" t="s">
        <v>151</v>
      </c>
      <c r="D398" s="59">
        <v>376255822995</v>
      </c>
      <c r="E398" s="68">
        <v>350107</v>
      </c>
      <c r="F398" s="217"/>
      <c r="G398" s="218">
        <f>4.23+32.08</f>
        <v>36.31</v>
      </c>
      <c r="H398" s="223" t="s">
        <v>627</v>
      </c>
      <c r="J398" s="219" t="s">
        <v>626</v>
      </c>
    </row>
    <row r="399" spans="1:34" s="203" customFormat="1" x14ac:dyDescent="0.2">
      <c r="A399" s="215">
        <v>42429</v>
      </c>
      <c r="B399" s="216" t="s">
        <v>127</v>
      </c>
      <c r="C399" s="203" t="s">
        <v>151</v>
      </c>
      <c r="D399" s="59">
        <v>376255822995</v>
      </c>
      <c r="E399" s="68">
        <v>350107</v>
      </c>
      <c r="F399" s="217"/>
      <c r="G399" s="218">
        <f>3.92+37.69</f>
        <v>41.61</v>
      </c>
      <c r="H399" s="223" t="s">
        <v>628</v>
      </c>
      <c r="J399" s="219" t="s">
        <v>626</v>
      </c>
    </row>
    <row r="400" spans="1:34" x14ac:dyDescent="0.2">
      <c r="A400" s="214">
        <v>42440</v>
      </c>
      <c r="B400" s="20" t="s">
        <v>127</v>
      </c>
      <c r="C400" s="19"/>
      <c r="D400" s="56">
        <v>376255822995</v>
      </c>
      <c r="E400" s="29">
        <v>350107</v>
      </c>
      <c r="F400" s="120"/>
      <c r="G400" s="141">
        <v>128.85</v>
      </c>
      <c r="H400" s="134" t="s">
        <v>629</v>
      </c>
      <c r="I400" s="19"/>
      <c r="J400" s="124" t="s">
        <v>305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x14ac:dyDescent="0.2">
      <c r="A401" s="213">
        <v>42444</v>
      </c>
      <c r="B401" s="20" t="s">
        <v>127</v>
      </c>
      <c r="C401" s="130"/>
      <c r="D401" s="60">
        <v>376255822995</v>
      </c>
      <c r="E401" s="113">
        <v>350107</v>
      </c>
      <c r="F401" s="121"/>
      <c r="G401" s="122">
        <f>7.6+83.3</f>
        <v>90.899999999999991</v>
      </c>
      <c r="H401" s="134" t="s">
        <v>630</v>
      </c>
      <c r="J401" s="124" t="s">
        <v>305</v>
      </c>
    </row>
    <row r="402" spans="1:34" x14ac:dyDescent="0.2">
      <c r="A402" s="213">
        <v>42444</v>
      </c>
      <c r="B402" s="20" t="s">
        <v>127</v>
      </c>
      <c r="C402" s="130"/>
      <c r="D402" s="60">
        <v>376255822995</v>
      </c>
      <c r="E402" s="113">
        <v>350107</v>
      </c>
      <c r="F402" s="121"/>
      <c r="G402" s="122">
        <f>10+64.15</f>
        <v>74.150000000000006</v>
      </c>
      <c r="H402" s="134" t="s">
        <v>631</v>
      </c>
      <c r="J402" s="124" t="s">
        <v>305</v>
      </c>
    </row>
    <row r="403" spans="1:34" x14ac:dyDescent="0.2">
      <c r="A403" s="213">
        <v>42444</v>
      </c>
      <c r="B403" s="20" t="s">
        <v>127</v>
      </c>
      <c r="C403" s="130"/>
      <c r="D403" s="60">
        <v>376255822995</v>
      </c>
      <c r="E403" s="113">
        <v>350107</v>
      </c>
      <c r="F403" s="121"/>
      <c r="G403" s="122">
        <f>4.77+60.64</f>
        <v>65.41</v>
      </c>
      <c r="H403" s="134" t="s">
        <v>632</v>
      </c>
      <c r="J403" s="124" t="s">
        <v>305</v>
      </c>
    </row>
    <row r="404" spans="1:34" x14ac:dyDescent="0.2">
      <c r="A404" s="213">
        <v>42450</v>
      </c>
      <c r="B404" s="20" t="s">
        <v>127</v>
      </c>
      <c r="C404" s="130"/>
      <c r="D404" s="60">
        <v>376255822995</v>
      </c>
      <c r="E404" s="113">
        <v>350107</v>
      </c>
      <c r="F404" s="121"/>
      <c r="G404" s="122">
        <v>121.9</v>
      </c>
      <c r="H404" s="131" t="s">
        <v>633</v>
      </c>
      <c r="J404" s="142" t="s">
        <v>305</v>
      </c>
    </row>
    <row r="405" spans="1:34" x14ac:dyDescent="0.2">
      <c r="A405" s="213">
        <v>42457</v>
      </c>
      <c r="B405" s="20" t="s">
        <v>127</v>
      </c>
      <c r="C405" s="130"/>
      <c r="D405" s="60">
        <v>376255822995</v>
      </c>
      <c r="E405" s="113">
        <v>350107</v>
      </c>
      <c r="F405" s="121"/>
      <c r="G405" s="122">
        <f>15.31+67.59</f>
        <v>82.9</v>
      </c>
      <c r="H405" s="134" t="s">
        <v>634</v>
      </c>
      <c r="J405" s="124" t="s">
        <v>305</v>
      </c>
    </row>
    <row r="406" spans="1:34" x14ac:dyDescent="0.2">
      <c r="A406" s="213">
        <v>42457</v>
      </c>
      <c r="B406" s="20" t="s">
        <v>127</v>
      </c>
      <c r="C406" s="130"/>
      <c r="D406" s="60">
        <v>376255822995</v>
      </c>
      <c r="E406" s="113">
        <v>350107</v>
      </c>
      <c r="F406" s="121"/>
      <c r="G406" s="122">
        <f>4.4+23.55</f>
        <v>27.950000000000003</v>
      </c>
      <c r="H406" s="134" t="s">
        <v>635</v>
      </c>
      <c r="J406" s="124" t="s">
        <v>305</v>
      </c>
    </row>
    <row r="407" spans="1:34" x14ac:dyDescent="0.2">
      <c r="A407" s="213">
        <v>42457</v>
      </c>
      <c r="B407" s="20" t="s">
        <v>127</v>
      </c>
      <c r="C407" s="130"/>
      <c r="D407" s="60">
        <v>376255822995</v>
      </c>
      <c r="E407" s="113">
        <v>350107</v>
      </c>
      <c r="F407" s="121"/>
      <c r="G407" s="122">
        <f>2.5+30.35</f>
        <v>32.85</v>
      </c>
      <c r="H407" s="134" t="s">
        <v>636</v>
      </c>
      <c r="J407" s="124" t="s">
        <v>305</v>
      </c>
    </row>
    <row r="408" spans="1:34" x14ac:dyDescent="0.2">
      <c r="A408" s="214">
        <v>42436</v>
      </c>
      <c r="B408" s="20" t="s">
        <v>127</v>
      </c>
      <c r="C408" s="19"/>
      <c r="D408" s="56">
        <v>376259904997</v>
      </c>
      <c r="E408" s="29">
        <v>350202</v>
      </c>
      <c r="F408" s="120"/>
      <c r="G408" s="141">
        <v>50.24</v>
      </c>
      <c r="H408" s="134" t="s">
        <v>637</v>
      </c>
      <c r="I408" s="19"/>
      <c r="J408" s="124" t="s">
        <v>638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x14ac:dyDescent="0.2">
      <c r="A409" s="213">
        <v>42445</v>
      </c>
      <c r="B409" s="20" t="s">
        <v>127</v>
      </c>
      <c r="C409" s="130"/>
      <c r="D409" s="60">
        <v>376259904997</v>
      </c>
      <c r="E409" s="113">
        <v>350202</v>
      </c>
      <c r="F409" s="121"/>
      <c r="G409" s="122">
        <f>5.5+55.39</f>
        <v>60.89</v>
      </c>
      <c r="H409" s="134" t="s">
        <v>639</v>
      </c>
      <c r="J409" s="124" t="s">
        <v>640</v>
      </c>
      <c r="K409" s="124"/>
      <c r="L409" s="124"/>
      <c r="M409" s="124"/>
      <c r="N409" s="124"/>
    </row>
    <row r="410" spans="1:34" x14ac:dyDescent="0.2">
      <c r="A410" s="213">
        <v>42445</v>
      </c>
      <c r="B410" s="20" t="s">
        <v>127</v>
      </c>
      <c r="C410" s="130"/>
      <c r="D410" s="60">
        <v>376259904997</v>
      </c>
      <c r="E410" s="113">
        <v>350202</v>
      </c>
      <c r="F410" s="121"/>
      <c r="G410" s="122">
        <f>3.5+46.74</f>
        <v>50.24</v>
      </c>
      <c r="H410" s="134" t="s">
        <v>641</v>
      </c>
      <c r="J410" s="124" t="s">
        <v>640</v>
      </c>
      <c r="K410" s="124"/>
      <c r="L410" s="124"/>
      <c r="M410" s="124"/>
      <c r="N410" s="124"/>
    </row>
    <row r="411" spans="1:34" x14ac:dyDescent="0.2">
      <c r="A411" s="213">
        <v>42461</v>
      </c>
      <c r="B411" s="20" t="s">
        <v>127</v>
      </c>
      <c r="C411" s="130"/>
      <c r="D411" s="60">
        <v>376259904997</v>
      </c>
      <c r="E411" s="113">
        <v>350202</v>
      </c>
      <c r="F411" s="121"/>
      <c r="G411" s="122">
        <v>58.9</v>
      </c>
      <c r="H411" s="134" t="s">
        <v>642</v>
      </c>
      <c r="J411" s="124" t="s">
        <v>643</v>
      </c>
    </row>
    <row r="412" spans="1:34" x14ac:dyDescent="0.2">
      <c r="A412" s="213">
        <v>42479</v>
      </c>
      <c r="B412" s="115" t="s">
        <v>127</v>
      </c>
      <c r="C412" s="130"/>
      <c r="D412" s="60">
        <v>376259904997</v>
      </c>
      <c r="E412" s="113">
        <v>350202</v>
      </c>
      <c r="F412" s="121"/>
      <c r="G412" s="122">
        <v>66.86</v>
      </c>
      <c r="H412" s="144" t="s">
        <v>644</v>
      </c>
      <c r="J412" s="142" t="s">
        <v>645</v>
      </c>
    </row>
    <row r="413" spans="1:34" x14ac:dyDescent="0.2">
      <c r="A413" s="213">
        <v>42485</v>
      </c>
      <c r="B413" s="115" t="s">
        <v>127</v>
      </c>
      <c r="C413" s="130"/>
      <c r="D413" s="60">
        <v>376259904997</v>
      </c>
      <c r="E413" s="113">
        <v>350202</v>
      </c>
      <c r="F413" s="121"/>
      <c r="G413" s="122">
        <f>15.06+81.19</f>
        <v>96.25</v>
      </c>
      <c r="H413" s="131" t="s">
        <v>646</v>
      </c>
      <c r="J413" s="143" t="s">
        <v>647</v>
      </c>
    </row>
    <row r="414" spans="1:34" x14ac:dyDescent="0.2">
      <c r="A414" s="213">
        <v>42487</v>
      </c>
      <c r="B414" s="115" t="s">
        <v>127</v>
      </c>
      <c r="C414" s="130"/>
      <c r="D414" s="60">
        <v>376259904997</v>
      </c>
      <c r="E414" s="113">
        <v>350202</v>
      </c>
      <c r="F414" s="121"/>
      <c r="G414" s="122">
        <f>17.42+28.8</f>
        <v>46.22</v>
      </c>
      <c r="H414" s="131" t="s">
        <v>648</v>
      </c>
      <c r="J414" s="143" t="s">
        <v>647</v>
      </c>
    </row>
    <row r="415" spans="1:34" x14ac:dyDescent="0.2">
      <c r="A415" s="213">
        <v>42123</v>
      </c>
      <c r="B415" s="115" t="s">
        <v>127</v>
      </c>
      <c r="C415" s="130"/>
      <c r="D415" s="60">
        <v>376259904997</v>
      </c>
      <c r="E415" s="113">
        <v>350202</v>
      </c>
      <c r="F415" s="121"/>
      <c r="G415" s="122">
        <f>3.5+46.74</f>
        <v>50.24</v>
      </c>
      <c r="H415" s="131" t="s">
        <v>649</v>
      </c>
      <c r="J415" s="143" t="s">
        <v>647</v>
      </c>
    </row>
    <row r="416" spans="1:34" x14ac:dyDescent="0.2">
      <c r="A416" s="213">
        <v>42431</v>
      </c>
      <c r="B416" s="20" t="s">
        <v>127</v>
      </c>
      <c r="C416" s="130"/>
      <c r="D416" s="60">
        <v>376263652996</v>
      </c>
      <c r="E416" s="29">
        <v>350330</v>
      </c>
      <c r="F416" s="121"/>
      <c r="G416" s="122">
        <v>90.85</v>
      </c>
      <c r="H416" s="131" t="s">
        <v>650</v>
      </c>
      <c r="J416" s="168" t="s">
        <v>651</v>
      </c>
    </row>
    <row r="417" spans="1:34" x14ac:dyDescent="0.2">
      <c r="A417" s="214">
        <v>42440</v>
      </c>
      <c r="B417" s="20" t="s">
        <v>127</v>
      </c>
      <c r="C417" s="19"/>
      <c r="D417" s="56">
        <v>376263652996</v>
      </c>
      <c r="E417" s="29">
        <v>350330</v>
      </c>
      <c r="F417" s="120"/>
      <c r="G417" s="141">
        <f>37.93+69.02</f>
        <v>106.94999999999999</v>
      </c>
      <c r="H417" s="134" t="s">
        <v>652</v>
      </c>
      <c r="I417" s="19"/>
      <c r="J417" s="168" t="s">
        <v>653</v>
      </c>
      <c r="K417" s="168"/>
      <c r="L417" s="168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x14ac:dyDescent="0.2">
      <c r="A418" s="214">
        <v>42440</v>
      </c>
      <c r="B418" s="20" t="s">
        <v>127</v>
      </c>
      <c r="C418" s="19"/>
      <c r="D418" s="56">
        <v>376263652996</v>
      </c>
      <c r="E418" s="29">
        <v>350330</v>
      </c>
      <c r="F418" s="120"/>
      <c r="G418" s="141">
        <f>14.2+42.41</f>
        <v>56.61</v>
      </c>
      <c r="H418" s="134" t="s">
        <v>654</v>
      </c>
      <c r="I418" s="19"/>
      <c r="J418" s="168" t="s">
        <v>653</v>
      </c>
      <c r="K418" s="168"/>
      <c r="L418" s="168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x14ac:dyDescent="0.2">
      <c r="A419" s="214">
        <v>42440</v>
      </c>
      <c r="B419" s="20" t="s">
        <v>127</v>
      </c>
      <c r="C419" s="19"/>
      <c r="D419" s="56">
        <v>376263652996</v>
      </c>
      <c r="E419" s="29">
        <v>350330</v>
      </c>
      <c r="F419" s="120"/>
      <c r="G419" s="141">
        <f>13.18+45.57</f>
        <v>58.75</v>
      </c>
      <c r="H419" s="134" t="s">
        <v>654</v>
      </c>
      <c r="I419" s="19"/>
      <c r="J419" s="168" t="s">
        <v>653</v>
      </c>
      <c r="K419" s="168"/>
      <c r="L419" s="168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x14ac:dyDescent="0.2">
      <c r="A420" s="214">
        <v>42440</v>
      </c>
      <c r="B420" s="20" t="s">
        <v>127</v>
      </c>
      <c r="C420" s="19"/>
      <c r="D420" s="56">
        <v>376263652996</v>
      </c>
      <c r="E420" s="29">
        <v>350330</v>
      </c>
      <c r="F420" s="120"/>
      <c r="G420" s="141">
        <f>16.88+48.34</f>
        <v>65.22</v>
      </c>
      <c r="H420" s="134" t="s">
        <v>655</v>
      </c>
      <c r="I420" s="19"/>
      <c r="J420" s="168" t="s">
        <v>653</v>
      </c>
      <c r="K420" s="168"/>
      <c r="L420" s="168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x14ac:dyDescent="0.2">
      <c r="A421" s="214">
        <v>42440</v>
      </c>
      <c r="B421" s="20" t="s">
        <v>127</v>
      </c>
      <c r="C421" s="19"/>
      <c r="D421" s="56">
        <v>376263652996</v>
      </c>
      <c r="E421" s="29">
        <v>350330</v>
      </c>
      <c r="F421" s="120"/>
      <c r="G421" s="141">
        <f>15.86+32.24</f>
        <v>48.1</v>
      </c>
      <c r="H421" s="134" t="s">
        <v>655</v>
      </c>
      <c r="I421" s="19"/>
      <c r="J421" s="168" t="s">
        <v>653</v>
      </c>
      <c r="K421" s="168"/>
      <c r="L421" s="168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x14ac:dyDescent="0.2">
      <c r="A422" s="213">
        <v>42453</v>
      </c>
      <c r="B422" s="20" t="s">
        <v>127</v>
      </c>
      <c r="C422" s="130"/>
      <c r="D422" s="60">
        <v>376263652996</v>
      </c>
      <c r="E422" s="113">
        <v>350330</v>
      </c>
      <c r="F422" s="121"/>
      <c r="G422" s="122">
        <f>10.22+25.04</f>
        <v>35.26</v>
      </c>
      <c r="H422" s="131" t="s">
        <v>656</v>
      </c>
      <c r="J422" s="142" t="s">
        <v>657</v>
      </c>
      <c r="K422" s="142"/>
      <c r="L422" s="142"/>
    </row>
    <row r="423" spans="1:34" x14ac:dyDescent="0.2">
      <c r="A423" s="213">
        <v>42453</v>
      </c>
      <c r="B423" s="20" t="s">
        <v>127</v>
      </c>
      <c r="C423" s="130"/>
      <c r="D423" s="60">
        <v>376263652996</v>
      </c>
      <c r="E423" s="113">
        <v>350330</v>
      </c>
      <c r="F423" s="121"/>
      <c r="G423" s="122">
        <f>37.93+69.02</f>
        <v>106.94999999999999</v>
      </c>
      <c r="H423" s="131" t="s">
        <v>658</v>
      </c>
      <c r="J423" s="142" t="s">
        <v>657</v>
      </c>
      <c r="K423" s="142"/>
      <c r="L423" s="142"/>
    </row>
    <row r="424" spans="1:34" x14ac:dyDescent="0.2">
      <c r="A424" s="213">
        <v>42453</v>
      </c>
      <c r="B424" s="20" t="s">
        <v>127</v>
      </c>
      <c r="C424" s="130"/>
      <c r="D424" s="60">
        <v>376263652996</v>
      </c>
      <c r="E424" s="113">
        <v>350330</v>
      </c>
      <c r="F424" s="121"/>
      <c r="G424" s="122">
        <f>18.88+40.99</f>
        <v>59.870000000000005</v>
      </c>
      <c r="H424" s="131" t="s">
        <v>659</v>
      </c>
      <c r="J424" s="142" t="s">
        <v>657</v>
      </c>
      <c r="K424" s="142"/>
      <c r="L424" s="142"/>
    </row>
    <row r="425" spans="1:34" x14ac:dyDescent="0.2">
      <c r="A425" s="213">
        <v>42454</v>
      </c>
      <c r="B425" s="20" t="s">
        <v>127</v>
      </c>
      <c r="C425" s="130"/>
      <c r="D425" s="60">
        <v>376263652996</v>
      </c>
      <c r="E425" s="113">
        <v>350330</v>
      </c>
      <c r="F425" s="121"/>
      <c r="G425" s="122">
        <f>72.79+157.16</f>
        <v>229.95</v>
      </c>
      <c r="H425" s="131" t="s">
        <v>660</v>
      </c>
      <c r="J425" s="142" t="s">
        <v>657</v>
      </c>
      <c r="K425" s="142"/>
      <c r="L425" s="142"/>
    </row>
    <row r="426" spans="1:34" x14ac:dyDescent="0.2">
      <c r="A426" s="213">
        <v>42468</v>
      </c>
      <c r="B426" s="115" t="s">
        <v>127</v>
      </c>
      <c r="D426" s="121" t="s">
        <v>286</v>
      </c>
      <c r="E426" s="113">
        <v>350330</v>
      </c>
      <c r="F426" s="121"/>
      <c r="G426" s="122">
        <f>61.87+150.96</f>
        <v>212.83</v>
      </c>
      <c r="H426" s="117">
        <v>1880562</v>
      </c>
      <c r="J426" s="142" t="s">
        <v>661</v>
      </c>
      <c r="K426" s="142"/>
    </row>
    <row r="427" spans="1:34" x14ac:dyDescent="0.2">
      <c r="A427" s="213">
        <v>42468</v>
      </c>
      <c r="B427" s="115" t="s">
        <v>127</v>
      </c>
      <c r="D427" s="121" t="s">
        <v>286</v>
      </c>
      <c r="E427" s="113">
        <v>350330</v>
      </c>
      <c r="F427" s="121"/>
      <c r="G427" s="122">
        <f>18.53+35.99</f>
        <v>54.52</v>
      </c>
      <c r="H427" s="117">
        <v>1885375</v>
      </c>
      <c r="J427" s="142" t="s">
        <v>661</v>
      </c>
      <c r="K427" s="142"/>
    </row>
    <row r="428" spans="1:34" x14ac:dyDescent="0.2">
      <c r="A428" s="213">
        <v>42468</v>
      </c>
      <c r="B428" s="115" t="s">
        <v>127</v>
      </c>
      <c r="D428" s="121" t="s">
        <v>286</v>
      </c>
      <c r="E428" s="113">
        <v>350330</v>
      </c>
      <c r="F428" s="121"/>
      <c r="G428" s="122">
        <f>26.19+45.99</f>
        <v>72.180000000000007</v>
      </c>
      <c r="H428" s="117">
        <v>1885375</v>
      </c>
      <c r="J428" s="142" t="s">
        <v>661</v>
      </c>
      <c r="K428" s="142"/>
    </row>
    <row r="429" spans="1:34" x14ac:dyDescent="0.2">
      <c r="A429" s="213">
        <v>42473</v>
      </c>
      <c r="B429" s="115" t="s">
        <v>127</v>
      </c>
      <c r="C429" s="130"/>
      <c r="D429" s="60">
        <v>376263652996</v>
      </c>
      <c r="E429" s="113">
        <v>350330</v>
      </c>
      <c r="F429" s="121"/>
      <c r="G429" s="122">
        <f>13.08+101.36</f>
        <v>114.44</v>
      </c>
      <c r="H429" s="131" t="s">
        <v>662</v>
      </c>
      <c r="J429" s="142" t="s">
        <v>663</v>
      </c>
    </row>
    <row r="430" spans="1:34" x14ac:dyDescent="0.2">
      <c r="A430" s="213">
        <v>42474</v>
      </c>
      <c r="B430" s="115" t="s">
        <v>127</v>
      </c>
      <c r="C430" s="130"/>
      <c r="D430" s="60">
        <v>376263652996</v>
      </c>
      <c r="E430" s="113">
        <v>350330</v>
      </c>
      <c r="F430" s="121"/>
      <c r="G430" s="122">
        <f>41.53+108.22</f>
        <v>149.75</v>
      </c>
      <c r="H430" s="131" t="s">
        <v>664</v>
      </c>
      <c r="J430" s="142" t="s">
        <v>663</v>
      </c>
    </row>
    <row r="431" spans="1:34" x14ac:dyDescent="0.2">
      <c r="A431" s="213">
        <v>42474</v>
      </c>
      <c r="B431" s="115" t="s">
        <v>127</v>
      </c>
      <c r="C431" s="130"/>
      <c r="D431" s="60">
        <v>376263652996</v>
      </c>
      <c r="E431" s="113">
        <v>350330</v>
      </c>
      <c r="F431" s="121"/>
      <c r="G431" s="122">
        <f>32.4+116.17</f>
        <v>148.57</v>
      </c>
      <c r="H431" s="131" t="s">
        <v>665</v>
      </c>
      <c r="J431" s="142" t="s">
        <v>663</v>
      </c>
    </row>
    <row r="432" spans="1:34" x14ac:dyDescent="0.2">
      <c r="A432" s="213">
        <v>42474</v>
      </c>
      <c r="B432" s="115" t="s">
        <v>127</v>
      </c>
      <c r="C432" s="130"/>
      <c r="D432" s="60">
        <v>376263652996</v>
      </c>
      <c r="E432" s="113">
        <v>350330</v>
      </c>
      <c r="F432" s="121"/>
      <c r="G432" s="122">
        <f>47.52+75.98</f>
        <v>123.5</v>
      </c>
      <c r="H432" s="131" t="s">
        <v>666</v>
      </c>
      <c r="J432" s="142" t="s">
        <v>663</v>
      </c>
    </row>
    <row r="433" spans="1:34" x14ac:dyDescent="0.2">
      <c r="A433" s="213">
        <v>42480</v>
      </c>
      <c r="B433" s="115" t="s">
        <v>127</v>
      </c>
      <c r="C433" s="130"/>
      <c r="D433" s="60">
        <v>376263652996</v>
      </c>
      <c r="E433" s="113">
        <v>350330</v>
      </c>
      <c r="F433" s="121"/>
      <c r="G433" s="122">
        <v>121.93</v>
      </c>
      <c r="H433" s="134" t="s">
        <v>667</v>
      </c>
      <c r="J433" s="142" t="s">
        <v>668</v>
      </c>
    </row>
    <row r="434" spans="1:34" x14ac:dyDescent="0.2">
      <c r="A434" s="213">
        <v>42489</v>
      </c>
      <c r="B434" s="115" t="s">
        <v>127</v>
      </c>
      <c r="C434" s="130"/>
      <c r="D434" s="60">
        <v>376263652996</v>
      </c>
      <c r="E434" s="113">
        <v>350330</v>
      </c>
      <c r="F434" s="121"/>
      <c r="G434" s="122">
        <f>60.17+118.42</f>
        <v>178.59</v>
      </c>
      <c r="H434" s="131" t="s">
        <v>669</v>
      </c>
      <c r="J434" s="143" t="s">
        <v>670</v>
      </c>
    </row>
    <row r="435" spans="1:34" x14ac:dyDescent="0.2">
      <c r="A435" s="213">
        <v>42488</v>
      </c>
      <c r="B435" s="115" t="s">
        <v>127</v>
      </c>
      <c r="C435" s="130"/>
      <c r="D435" s="60">
        <v>376263652996</v>
      </c>
      <c r="E435" s="113">
        <v>350330</v>
      </c>
      <c r="F435" s="121"/>
      <c r="G435" s="122">
        <f>13.76+77.09</f>
        <v>90.850000000000009</v>
      </c>
      <c r="H435" s="131" t="s">
        <v>671</v>
      </c>
      <c r="J435" s="143" t="s">
        <v>670</v>
      </c>
    </row>
    <row r="436" spans="1:34" x14ac:dyDescent="0.2">
      <c r="A436" s="213">
        <v>42485</v>
      </c>
      <c r="B436" s="115" t="s">
        <v>127</v>
      </c>
      <c r="C436" s="130"/>
      <c r="D436" s="60">
        <v>376263652996</v>
      </c>
      <c r="E436" s="113">
        <v>350330</v>
      </c>
      <c r="F436" s="121"/>
      <c r="G436" s="122">
        <f>20.53+36.13</f>
        <v>56.660000000000004</v>
      </c>
      <c r="H436" s="131" t="s">
        <v>672</v>
      </c>
      <c r="J436" s="143" t="s">
        <v>670</v>
      </c>
    </row>
    <row r="437" spans="1:34" x14ac:dyDescent="0.2">
      <c r="A437" s="213">
        <v>42447</v>
      </c>
      <c r="B437" s="20" t="s">
        <v>127</v>
      </c>
      <c r="C437" s="130"/>
      <c r="D437" s="60">
        <v>376265223994</v>
      </c>
      <c r="E437" s="113">
        <v>350414</v>
      </c>
      <c r="F437" s="121"/>
      <c r="G437" s="122">
        <v>88.95</v>
      </c>
      <c r="H437" s="134" t="s">
        <v>673</v>
      </c>
      <c r="J437" s="124" t="s">
        <v>489</v>
      </c>
      <c r="K437" s="124"/>
      <c r="L437" s="124"/>
      <c r="M437" s="124"/>
    </row>
    <row r="438" spans="1:34" x14ac:dyDescent="0.2">
      <c r="A438" s="213">
        <v>42461</v>
      </c>
      <c r="B438" s="20" t="s">
        <v>127</v>
      </c>
      <c r="C438" s="130"/>
      <c r="D438" s="60">
        <v>376265267991</v>
      </c>
      <c r="E438" s="113">
        <v>350416</v>
      </c>
      <c r="F438" s="121"/>
      <c r="G438" s="122">
        <v>113.9</v>
      </c>
      <c r="H438" s="134" t="s">
        <v>674</v>
      </c>
      <c r="J438" s="124" t="s">
        <v>675</v>
      </c>
    </row>
    <row r="439" spans="1:34" x14ac:dyDescent="0.2">
      <c r="A439" s="213">
        <v>42445</v>
      </c>
      <c r="B439" s="20" t="s">
        <v>127</v>
      </c>
      <c r="C439" s="130"/>
      <c r="D439" s="60">
        <v>376265641997</v>
      </c>
      <c r="E439" s="113">
        <v>350428</v>
      </c>
      <c r="F439" s="121"/>
      <c r="G439" s="122">
        <v>180.95</v>
      </c>
      <c r="H439" s="134" t="s">
        <v>676</v>
      </c>
      <c r="J439" s="124" t="s">
        <v>305</v>
      </c>
    </row>
    <row r="440" spans="1:34" x14ac:dyDescent="0.2">
      <c r="A440" s="213">
        <v>42465</v>
      </c>
      <c r="B440" s="115" t="s">
        <v>127</v>
      </c>
      <c r="D440" s="121" t="s">
        <v>677</v>
      </c>
      <c r="E440" s="113">
        <v>350428</v>
      </c>
      <c r="F440" s="121"/>
      <c r="G440" s="122">
        <v>159.21</v>
      </c>
      <c r="H440" s="117">
        <v>1873998</v>
      </c>
      <c r="J440" s="142" t="s">
        <v>305</v>
      </c>
    </row>
    <row r="441" spans="1:34" x14ac:dyDescent="0.2">
      <c r="A441" s="213">
        <v>42468</v>
      </c>
      <c r="B441" s="115" t="s">
        <v>127</v>
      </c>
      <c r="D441" s="121" t="s">
        <v>94</v>
      </c>
      <c r="E441" s="113">
        <v>350522</v>
      </c>
      <c r="F441" s="121"/>
      <c r="G441" s="122">
        <v>39.950000000000003</v>
      </c>
      <c r="H441" s="117">
        <v>1884449</v>
      </c>
      <c r="J441" s="140" t="s">
        <v>435</v>
      </c>
    </row>
    <row r="442" spans="1:34" x14ac:dyDescent="0.2">
      <c r="A442" s="214">
        <v>42438</v>
      </c>
      <c r="B442" s="20" t="s">
        <v>127</v>
      </c>
      <c r="C442" s="19"/>
      <c r="D442" s="56">
        <v>376266954993</v>
      </c>
      <c r="E442" s="29">
        <v>350536</v>
      </c>
      <c r="F442" s="120"/>
      <c r="G442" s="141">
        <f>72.62+130.47</f>
        <v>203.09</v>
      </c>
      <c r="H442" s="134" t="s">
        <v>678</v>
      </c>
      <c r="I442" s="19"/>
      <c r="J442" s="124" t="s">
        <v>305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x14ac:dyDescent="0.2">
      <c r="A443" s="214">
        <v>42438</v>
      </c>
      <c r="B443" s="20" t="s">
        <v>127</v>
      </c>
      <c r="C443" s="19"/>
      <c r="D443" s="56">
        <v>376266954993</v>
      </c>
      <c r="E443" s="29">
        <v>350536</v>
      </c>
      <c r="F443" s="120"/>
      <c r="G443" s="141">
        <f>26.13+64.77</f>
        <v>90.899999999999991</v>
      </c>
      <c r="H443" s="134" t="s">
        <v>679</v>
      </c>
      <c r="I443" s="19"/>
      <c r="J443" s="124" t="s">
        <v>305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x14ac:dyDescent="0.2">
      <c r="A444" s="213">
        <v>42454</v>
      </c>
      <c r="B444" s="20" t="s">
        <v>127</v>
      </c>
      <c r="C444" s="130"/>
      <c r="D444" s="60">
        <v>376266954993</v>
      </c>
      <c r="E444" s="113">
        <v>350536</v>
      </c>
      <c r="F444" s="121"/>
      <c r="G444" s="122">
        <f>52.44+146.53</f>
        <v>198.97</v>
      </c>
      <c r="H444" s="131" t="s">
        <v>680</v>
      </c>
      <c r="J444" s="142" t="s">
        <v>305</v>
      </c>
    </row>
    <row r="445" spans="1:34" x14ac:dyDescent="0.2">
      <c r="A445" s="213">
        <v>42454</v>
      </c>
      <c r="B445" s="20" t="s">
        <v>127</v>
      </c>
      <c r="C445" s="130"/>
      <c r="D445" s="60">
        <v>376266954993</v>
      </c>
      <c r="E445" s="113">
        <v>350536</v>
      </c>
      <c r="F445" s="121"/>
      <c r="G445" s="122">
        <f>9.99+24.53</f>
        <v>34.520000000000003</v>
      </c>
      <c r="H445" s="131" t="s">
        <v>681</v>
      </c>
      <c r="J445" s="142" t="s">
        <v>305</v>
      </c>
    </row>
    <row r="446" spans="1:34" x14ac:dyDescent="0.2">
      <c r="A446" s="213">
        <v>42452</v>
      </c>
      <c r="B446" s="20" t="s">
        <v>127</v>
      </c>
      <c r="C446" s="130"/>
      <c r="D446" s="60">
        <v>376266954993</v>
      </c>
      <c r="E446" s="113">
        <v>350536</v>
      </c>
      <c r="F446" s="121"/>
      <c r="G446" s="122">
        <f>17.53+25.17</f>
        <v>42.7</v>
      </c>
      <c r="H446" s="131" t="s">
        <v>682</v>
      </c>
      <c r="J446" s="142" t="s">
        <v>305</v>
      </c>
    </row>
    <row r="447" spans="1:34" x14ac:dyDescent="0.2">
      <c r="A447" s="213">
        <v>42457</v>
      </c>
      <c r="B447" s="20" t="s">
        <v>127</v>
      </c>
      <c r="C447" s="130"/>
      <c r="D447" s="60">
        <v>376266954993</v>
      </c>
      <c r="E447" s="113">
        <v>350536</v>
      </c>
      <c r="F447" s="121"/>
      <c r="G447" s="122">
        <f>25.22+36.74</f>
        <v>61.96</v>
      </c>
      <c r="H447" s="134" t="s">
        <v>683</v>
      </c>
      <c r="J447" s="124" t="s">
        <v>305</v>
      </c>
    </row>
    <row r="448" spans="1:34" x14ac:dyDescent="0.2">
      <c r="A448" s="213">
        <v>42459</v>
      </c>
      <c r="B448" s="20" t="s">
        <v>127</v>
      </c>
      <c r="C448" s="130"/>
      <c r="D448" s="60">
        <v>376266954993</v>
      </c>
      <c r="E448" s="113">
        <v>350536</v>
      </c>
      <c r="F448" s="121"/>
      <c r="G448" s="122">
        <f>24.29+71.17</f>
        <v>95.460000000000008</v>
      </c>
      <c r="H448" s="134" t="s">
        <v>684</v>
      </c>
      <c r="J448" s="124" t="s">
        <v>305</v>
      </c>
    </row>
    <row r="449" spans="1:34" x14ac:dyDescent="0.2">
      <c r="A449" s="213">
        <v>42459</v>
      </c>
      <c r="B449" s="20" t="s">
        <v>127</v>
      </c>
      <c r="C449" s="130"/>
      <c r="D449" s="60">
        <v>376266954993</v>
      </c>
      <c r="E449" s="113">
        <v>350536</v>
      </c>
      <c r="F449" s="121"/>
      <c r="G449" s="122">
        <f>34.88+32.49</f>
        <v>67.37</v>
      </c>
      <c r="H449" s="134" t="s">
        <v>685</v>
      </c>
      <c r="J449" s="124" t="s">
        <v>305</v>
      </c>
    </row>
    <row r="450" spans="1:34" x14ac:dyDescent="0.2">
      <c r="A450" s="213">
        <v>42473</v>
      </c>
      <c r="B450" s="115" t="s">
        <v>127</v>
      </c>
      <c r="C450" s="130"/>
      <c r="D450" s="60">
        <v>376266954993</v>
      </c>
      <c r="E450" s="113">
        <v>350536</v>
      </c>
      <c r="F450" s="121"/>
      <c r="G450" s="122">
        <f>41.47+129.1</f>
        <v>170.57</v>
      </c>
      <c r="H450" s="131" t="s">
        <v>686</v>
      </c>
      <c r="J450" s="142" t="s">
        <v>305</v>
      </c>
    </row>
    <row r="451" spans="1:34" x14ac:dyDescent="0.2">
      <c r="A451" s="213">
        <v>42473</v>
      </c>
      <c r="B451" s="115" t="s">
        <v>127</v>
      </c>
      <c r="C451" s="130"/>
      <c r="D451" s="60">
        <v>376266954993</v>
      </c>
      <c r="E451" s="113">
        <v>350536</v>
      </c>
      <c r="F451" s="121"/>
      <c r="G451" s="122">
        <f>278.87+449.08</f>
        <v>727.95</v>
      </c>
      <c r="H451" s="131" t="s">
        <v>687</v>
      </c>
      <c r="J451" s="142" t="s">
        <v>305</v>
      </c>
    </row>
    <row r="452" spans="1:34" x14ac:dyDescent="0.2">
      <c r="A452" s="213">
        <v>42471</v>
      </c>
      <c r="B452" s="115" t="s">
        <v>127</v>
      </c>
      <c r="C452" s="130"/>
      <c r="D452" s="60">
        <v>376266954993</v>
      </c>
      <c r="E452" s="113">
        <v>350536</v>
      </c>
      <c r="F452" s="121"/>
      <c r="G452" s="122">
        <f>20.48+68.13</f>
        <v>88.61</v>
      </c>
      <c r="H452" s="131" t="s">
        <v>688</v>
      </c>
      <c r="J452" s="142" t="s">
        <v>305</v>
      </c>
    </row>
    <row r="453" spans="1:34" x14ac:dyDescent="0.2">
      <c r="A453" s="213">
        <v>42482</v>
      </c>
      <c r="B453" s="115" t="s">
        <v>127</v>
      </c>
      <c r="C453" s="130"/>
      <c r="D453" s="60">
        <v>376266954993</v>
      </c>
      <c r="E453" s="113">
        <v>350536</v>
      </c>
      <c r="F453" s="121"/>
      <c r="G453" s="122">
        <v>34.520000000000003</v>
      </c>
      <c r="H453" s="134" t="s">
        <v>689</v>
      </c>
      <c r="J453" s="142" t="s">
        <v>305</v>
      </c>
    </row>
    <row r="454" spans="1:34" x14ac:dyDescent="0.2">
      <c r="A454" s="213">
        <v>42488</v>
      </c>
      <c r="B454" s="115" t="s">
        <v>127</v>
      </c>
      <c r="C454" s="130"/>
      <c r="D454" s="60">
        <v>376266954993</v>
      </c>
      <c r="E454" s="113">
        <v>350536</v>
      </c>
      <c r="F454" s="121"/>
      <c r="G454" s="122">
        <v>57.73</v>
      </c>
      <c r="H454" s="131" t="s">
        <v>690</v>
      </c>
      <c r="J454" s="143" t="s">
        <v>305</v>
      </c>
    </row>
    <row r="455" spans="1:34" x14ac:dyDescent="0.2">
      <c r="A455" s="213">
        <v>42431</v>
      </c>
      <c r="B455" s="20" t="s">
        <v>127</v>
      </c>
      <c r="C455" s="130"/>
      <c r="D455" s="60">
        <v>376269450999</v>
      </c>
      <c r="E455" s="29">
        <v>350960</v>
      </c>
      <c r="F455" s="121"/>
      <c r="G455" s="122">
        <f>27.94+259.92</f>
        <v>287.86</v>
      </c>
      <c r="H455" s="131" t="s">
        <v>691</v>
      </c>
      <c r="J455" s="168" t="s">
        <v>305</v>
      </c>
    </row>
    <row r="456" spans="1:34" x14ac:dyDescent="0.2">
      <c r="A456" s="213">
        <v>42431</v>
      </c>
      <c r="B456" s="20" t="s">
        <v>127</v>
      </c>
      <c r="C456" s="130"/>
      <c r="D456" s="60">
        <v>376269450999</v>
      </c>
      <c r="E456" s="29">
        <v>350960</v>
      </c>
      <c r="F456" s="121"/>
      <c r="G456" s="122">
        <f>12.31+60.64</f>
        <v>72.95</v>
      </c>
      <c r="H456" s="131" t="s">
        <v>692</v>
      </c>
      <c r="J456" s="168" t="s">
        <v>305</v>
      </c>
    </row>
    <row r="457" spans="1:34" x14ac:dyDescent="0.2">
      <c r="A457" s="213">
        <v>42431</v>
      </c>
      <c r="B457" s="20" t="s">
        <v>127</v>
      </c>
      <c r="C457" s="130"/>
      <c r="D457" s="60">
        <v>376269450999</v>
      </c>
      <c r="E457" s="29">
        <v>350960</v>
      </c>
      <c r="F457" s="121"/>
      <c r="G457" s="122">
        <f>51.86+304.02</f>
        <v>355.88</v>
      </c>
      <c r="H457" s="131" t="s">
        <v>693</v>
      </c>
      <c r="J457" s="168" t="s">
        <v>305</v>
      </c>
    </row>
    <row r="458" spans="1:34" x14ac:dyDescent="0.2">
      <c r="A458" s="213">
        <v>42431</v>
      </c>
      <c r="B458" s="20" t="s">
        <v>127</v>
      </c>
      <c r="C458" s="130"/>
      <c r="D458" s="60">
        <v>376269450999</v>
      </c>
      <c r="E458" s="29">
        <v>350960</v>
      </c>
      <c r="F458" s="121"/>
      <c r="G458" s="122">
        <f>32.81+265.14</f>
        <v>297.95</v>
      </c>
      <c r="H458" s="131" t="s">
        <v>694</v>
      </c>
      <c r="J458" s="168" t="s">
        <v>305</v>
      </c>
    </row>
    <row r="459" spans="1:34" x14ac:dyDescent="0.2">
      <c r="A459" s="214">
        <v>42439</v>
      </c>
      <c r="B459" s="20" t="s">
        <v>127</v>
      </c>
      <c r="C459" s="19"/>
      <c r="D459" s="56">
        <v>376269450999</v>
      </c>
      <c r="E459" s="29">
        <v>350960</v>
      </c>
      <c r="F459" s="120"/>
      <c r="G459" s="141">
        <f>20.36+39.59</f>
        <v>59.95</v>
      </c>
      <c r="H459" s="134" t="s">
        <v>695</v>
      </c>
      <c r="I459" s="19"/>
      <c r="J459" s="124" t="s">
        <v>305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x14ac:dyDescent="0.2">
      <c r="A460" s="214">
        <v>42439</v>
      </c>
      <c r="B460" s="20" t="s">
        <v>127</v>
      </c>
      <c r="C460" s="19"/>
      <c r="D460" s="56">
        <v>376269450999</v>
      </c>
      <c r="E460" s="29">
        <v>350960</v>
      </c>
      <c r="F460" s="120"/>
      <c r="G460" s="141">
        <f>56.08+237.92</f>
        <v>294</v>
      </c>
      <c r="H460" s="134" t="s">
        <v>696</v>
      </c>
      <c r="I460" s="19"/>
      <c r="J460" s="124" t="s">
        <v>305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x14ac:dyDescent="0.2">
      <c r="A461" s="214">
        <v>42439</v>
      </c>
      <c r="B461" s="20" t="s">
        <v>127</v>
      </c>
      <c r="C461" s="19"/>
      <c r="D461" s="56">
        <v>376269450999</v>
      </c>
      <c r="E461" s="29">
        <v>350960</v>
      </c>
      <c r="F461" s="120"/>
      <c r="G461" s="141">
        <f>51.05+478.9</f>
        <v>529.94999999999993</v>
      </c>
      <c r="H461" s="134" t="s">
        <v>697</v>
      </c>
      <c r="I461" s="19"/>
      <c r="J461" s="124" t="s">
        <v>305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x14ac:dyDescent="0.2">
      <c r="A462" s="213">
        <v>42444</v>
      </c>
      <c r="B462" s="20" t="s">
        <v>127</v>
      </c>
      <c r="C462" s="130"/>
      <c r="D462" s="60">
        <v>376269450999</v>
      </c>
      <c r="E462" s="113">
        <v>350960</v>
      </c>
      <c r="F462" s="121"/>
      <c r="G462" s="122">
        <f>22.65+157.3</f>
        <v>179.95000000000002</v>
      </c>
      <c r="H462" s="134" t="s">
        <v>698</v>
      </c>
      <c r="J462" s="124" t="s">
        <v>305</v>
      </c>
    </row>
    <row r="463" spans="1:34" x14ac:dyDescent="0.2">
      <c r="A463" s="213">
        <v>42444</v>
      </c>
      <c r="B463" s="20" t="s">
        <v>127</v>
      </c>
      <c r="C463" s="130"/>
      <c r="D463" s="60">
        <v>376269450999</v>
      </c>
      <c r="E463" s="113">
        <v>350960</v>
      </c>
      <c r="F463" s="121"/>
      <c r="G463" s="122">
        <f>61.11+283.54</f>
        <v>344.65000000000003</v>
      </c>
      <c r="H463" s="134" t="s">
        <v>699</v>
      </c>
      <c r="J463" s="124" t="s">
        <v>305</v>
      </c>
    </row>
    <row r="464" spans="1:34" x14ac:dyDescent="0.2">
      <c r="A464" s="213">
        <v>42444</v>
      </c>
      <c r="B464" s="20" t="s">
        <v>127</v>
      </c>
      <c r="C464" s="130"/>
      <c r="D464" s="60">
        <v>376269450999</v>
      </c>
      <c r="E464" s="113">
        <v>350960</v>
      </c>
      <c r="F464" s="121"/>
      <c r="G464" s="122">
        <f>35.61+224.34</f>
        <v>259.95</v>
      </c>
      <c r="H464" s="134" t="s">
        <v>700</v>
      </c>
      <c r="J464" s="124" t="s">
        <v>305</v>
      </c>
    </row>
    <row r="465" spans="1:10" x14ac:dyDescent="0.2">
      <c r="A465" s="213">
        <v>42450</v>
      </c>
      <c r="B465" s="20" t="s">
        <v>127</v>
      </c>
      <c r="C465" s="130"/>
      <c r="D465" s="60">
        <v>376269450999</v>
      </c>
      <c r="E465" s="113">
        <v>350960</v>
      </c>
      <c r="F465" s="121"/>
      <c r="G465" s="122">
        <f>37.49+87.46</f>
        <v>124.94999999999999</v>
      </c>
      <c r="H465" s="131" t="s">
        <v>701</v>
      </c>
      <c r="J465" s="142" t="s">
        <v>305</v>
      </c>
    </row>
    <row r="466" spans="1:10" x14ac:dyDescent="0.2">
      <c r="A466" s="213">
        <v>42451</v>
      </c>
      <c r="B466" s="20" t="s">
        <v>127</v>
      </c>
      <c r="C466" s="130"/>
      <c r="D466" s="60">
        <v>376269450999</v>
      </c>
      <c r="E466" s="113">
        <v>350960</v>
      </c>
      <c r="F466" s="121"/>
      <c r="G466" s="122">
        <f>22.65+157.3</f>
        <v>179.95000000000002</v>
      </c>
      <c r="H466" s="131" t="s">
        <v>702</v>
      </c>
      <c r="J466" s="142" t="s">
        <v>305</v>
      </c>
    </row>
    <row r="467" spans="1:10" x14ac:dyDescent="0.2">
      <c r="A467" s="213">
        <v>42451</v>
      </c>
      <c r="B467" s="20" t="s">
        <v>127</v>
      </c>
      <c r="C467" s="130"/>
      <c r="D467" s="60">
        <v>376269450999</v>
      </c>
      <c r="E467" s="113">
        <v>350960</v>
      </c>
      <c r="F467" s="121"/>
      <c r="G467" s="122">
        <f>34.81+216.87</f>
        <v>251.68</v>
      </c>
      <c r="H467" s="131" t="s">
        <v>703</v>
      </c>
      <c r="J467" s="142" t="s">
        <v>305</v>
      </c>
    </row>
    <row r="468" spans="1:10" x14ac:dyDescent="0.2">
      <c r="A468" s="213">
        <v>42458</v>
      </c>
      <c r="B468" s="20" t="s">
        <v>127</v>
      </c>
      <c r="C468" s="130"/>
      <c r="D468" s="60">
        <v>376269450999</v>
      </c>
      <c r="E468" s="113">
        <v>350960</v>
      </c>
      <c r="F468" s="121"/>
      <c r="G468" s="122">
        <f>32.81+265.14</f>
        <v>297.95</v>
      </c>
      <c r="H468" s="134" t="s">
        <v>704</v>
      </c>
      <c r="J468" s="124" t="s">
        <v>305</v>
      </c>
    </row>
    <row r="469" spans="1:10" x14ac:dyDescent="0.2">
      <c r="A469" s="213">
        <v>42458</v>
      </c>
      <c r="B469" s="20" t="s">
        <v>127</v>
      </c>
      <c r="C469" s="130"/>
      <c r="D469" s="60">
        <v>376269450999</v>
      </c>
      <c r="E469" s="113">
        <v>350960</v>
      </c>
      <c r="F469" s="121"/>
      <c r="G469" s="122">
        <f>20.07+421.2</f>
        <v>441.27</v>
      </c>
      <c r="H469" s="134" t="s">
        <v>705</v>
      </c>
      <c r="J469" s="124" t="s">
        <v>305</v>
      </c>
    </row>
    <row r="470" spans="1:10" x14ac:dyDescent="0.2">
      <c r="A470" s="213">
        <v>42465</v>
      </c>
      <c r="B470" s="115" t="s">
        <v>127</v>
      </c>
      <c r="D470" s="121" t="s">
        <v>293</v>
      </c>
      <c r="E470" s="113">
        <v>350960</v>
      </c>
      <c r="F470" s="121"/>
      <c r="G470" s="122">
        <f>26.77+372.03</f>
        <v>398.79999999999995</v>
      </c>
      <c r="H470" s="117">
        <v>1872922</v>
      </c>
      <c r="J470" s="142" t="s">
        <v>305</v>
      </c>
    </row>
    <row r="471" spans="1:10" x14ac:dyDescent="0.2">
      <c r="A471" s="213">
        <v>42467</v>
      </c>
      <c r="B471" s="115" t="s">
        <v>127</v>
      </c>
      <c r="D471" s="121" t="s">
        <v>293</v>
      </c>
      <c r="E471" s="113">
        <v>350960</v>
      </c>
      <c r="F471" s="121"/>
      <c r="G471" s="122">
        <f>18.12+41.83</f>
        <v>59.95</v>
      </c>
      <c r="H471" s="117">
        <v>1881867</v>
      </c>
      <c r="J471" s="142" t="s">
        <v>305</v>
      </c>
    </row>
    <row r="472" spans="1:10" x14ac:dyDescent="0.2">
      <c r="A472" s="213">
        <v>42471</v>
      </c>
      <c r="B472" s="115" t="s">
        <v>127</v>
      </c>
      <c r="C472" s="130"/>
      <c r="D472" s="60">
        <v>376269450999</v>
      </c>
      <c r="E472" s="113">
        <v>350960</v>
      </c>
      <c r="F472" s="121"/>
      <c r="G472" s="122">
        <f>30.84+434.06</f>
        <v>464.9</v>
      </c>
      <c r="H472" s="131" t="s">
        <v>706</v>
      </c>
      <c r="J472" s="142" t="s">
        <v>305</v>
      </c>
    </row>
    <row r="473" spans="1:10" x14ac:dyDescent="0.2">
      <c r="A473" s="213">
        <v>42471</v>
      </c>
      <c r="B473" s="115" t="s">
        <v>127</v>
      </c>
      <c r="C473" s="130"/>
      <c r="D473" s="60">
        <v>376269450999</v>
      </c>
      <c r="E473" s="113">
        <v>350960</v>
      </c>
      <c r="F473" s="121"/>
      <c r="G473" s="122">
        <f>13.69+284.26</f>
        <v>297.95</v>
      </c>
      <c r="H473" s="131" t="s">
        <v>707</v>
      </c>
      <c r="J473" s="142" t="s">
        <v>305</v>
      </c>
    </row>
    <row r="474" spans="1:10" x14ac:dyDescent="0.2">
      <c r="A474" s="213">
        <v>42471</v>
      </c>
      <c r="B474" s="115" t="s">
        <v>127</v>
      </c>
      <c r="C474" s="130"/>
      <c r="D474" s="60">
        <v>376269450999</v>
      </c>
      <c r="E474" s="113">
        <v>350960</v>
      </c>
      <c r="F474" s="121"/>
      <c r="G474" s="122">
        <f>6.38+136.94</f>
        <v>143.32</v>
      </c>
      <c r="H474" s="131" t="s">
        <v>708</v>
      </c>
      <c r="J474" s="142" t="s">
        <v>305</v>
      </c>
    </row>
    <row r="475" spans="1:10" x14ac:dyDescent="0.2">
      <c r="A475" s="213">
        <v>42486</v>
      </c>
      <c r="B475" s="115" t="s">
        <v>127</v>
      </c>
      <c r="C475" s="130"/>
      <c r="D475" s="60">
        <v>376269450999</v>
      </c>
      <c r="E475" s="113">
        <v>350960</v>
      </c>
      <c r="F475" s="121"/>
      <c r="G475" s="122">
        <f>18.49+261.46</f>
        <v>279.95</v>
      </c>
      <c r="H475" s="134" t="s">
        <v>709</v>
      </c>
      <c r="J475" s="124" t="s">
        <v>305</v>
      </c>
    </row>
    <row r="476" spans="1:10" x14ac:dyDescent="0.2">
      <c r="A476" s="213">
        <v>42486</v>
      </c>
      <c r="B476" s="115" t="s">
        <v>127</v>
      </c>
      <c r="C476" s="130"/>
      <c r="D476" s="60">
        <v>376269450999</v>
      </c>
      <c r="E476" s="113">
        <v>350960</v>
      </c>
      <c r="F476" s="121"/>
      <c r="G476" s="122">
        <f>13.69+284.26</f>
        <v>297.95</v>
      </c>
      <c r="H476" s="134" t="s">
        <v>710</v>
      </c>
      <c r="J476" s="124" t="s">
        <v>305</v>
      </c>
    </row>
    <row r="477" spans="1:10" x14ac:dyDescent="0.2">
      <c r="A477" s="213">
        <v>42454</v>
      </c>
      <c r="B477" s="20" t="s">
        <v>127</v>
      </c>
      <c r="C477" s="130"/>
      <c r="D477" s="60">
        <v>376270571999</v>
      </c>
      <c r="E477" s="113">
        <v>351138</v>
      </c>
      <c r="F477" s="121"/>
      <c r="G477" s="122">
        <f>55.16+265.14</f>
        <v>320.29999999999995</v>
      </c>
      <c r="H477" s="131" t="s">
        <v>711</v>
      </c>
      <c r="J477" s="142" t="s">
        <v>435</v>
      </c>
    </row>
    <row r="478" spans="1:10" x14ac:dyDescent="0.2">
      <c r="A478" s="213">
        <v>42454</v>
      </c>
      <c r="B478" s="20" t="s">
        <v>127</v>
      </c>
      <c r="C478" s="130"/>
      <c r="D478" s="60">
        <v>376270571999</v>
      </c>
      <c r="E478" s="113">
        <v>351138</v>
      </c>
      <c r="F478" s="121"/>
      <c r="G478" s="122">
        <f>3.26+36.69</f>
        <v>39.949999999999996</v>
      </c>
      <c r="H478" s="131" t="s">
        <v>712</v>
      </c>
      <c r="J478" s="142" t="s">
        <v>435</v>
      </c>
    </row>
    <row r="479" spans="1:10" x14ac:dyDescent="0.2">
      <c r="A479" s="213">
        <v>42468</v>
      </c>
      <c r="B479" s="115" t="s">
        <v>127</v>
      </c>
      <c r="D479" s="121" t="s">
        <v>713</v>
      </c>
      <c r="E479" s="113">
        <v>351183</v>
      </c>
      <c r="F479" s="121"/>
      <c r="G479" s="122">
        <v>676.91</v>
      </c>
      <c r="H479" s="117">
        <v>1880911</v>
      </c>
      <c r="J479" s="140" t="s">
        <v>435</v>
      </c>
    </row>
    <row r="480" spans="1:10" x14ac:dyDescent="0.2">
      <c r="A480" s="213">
        <v>42431</v>
      </c>
      <c r="B480" s="20" t="s">
        <v>127</v>
      </c>
      <c r="C480" s="130"/>
      <c r="D480" s="60">
        <v>376270875994</v>
      </c>
      <c r="E480" s="29">
        <v>351187</v>
      </c>
      <c r="F480" s="121"/>
      <c r="G480" s="122">
        <f>3.12+35.78</f>
        <v>38.9</v>
      </c>
      <c r="H480" s="131" t="s">
        <v>714</v>
      </c>
      <c r="J480" s="168" t="s">
        <v>305</v>
      </c>
    </row>
    <row r="481" spans="1:34" x14ac:dyDescent="0.2">
      <c r="A481" s="213">
        <v>42429</v>
      </c>
      <c r="B481" s="20" t="s">
        <v>127</v>
      </c>
      <c r="C481" s="130"/>
      <c r="D481" s="60">
        <v>376270875994</v>
      </c>
      <c r="E481" s="29">
        <v>351187</v>
      </c>
      <c r="F481" s="121"/>
      <c r="G481" s="122">
        <f>78.55+360.35</f>
        <v>438.90000000000003</v>
      </c>
      <c r="H481" s="131" t="s">
        <v>624</v>
      </c>
      <c r="J481" s="168" t="s">
        <v>305</v>
      </c>
    </row>
    <row r="482" spans="1:34" x14ac:dyDescent="0.2">
      <c r="A482" s="213">
        <v>42478</v>
      </c>
      <c r="B482" s="115" t="s">
        <v>127</v>
      </c>
      <c r="C482" s="130"/>
      <c r="D482" s="60">
        <v>376270875994</v>
      </c>
      <c r="E482" s="113">
        <v>351187</v>
      </c>
      <c r="F482" s="121"/>
      <c r="G482" s="122">
        <f>19.18+103.77</f>
        <v>122.94999999999999</v>
      </c>
      <c r="H482" s="131" t="s">
        <v>715</v>
      </c>
      <c r="J482" s="142" t="s">
        <v>305</v>
      </c>
    </row>
    <row r="483" spans="1:34" x14ac:dyDescent="0.2">
      <c r="A483" s="213">
        <v>42480</v>
      </c>
      <c r="B483" s="115" t="s">
        <v>127</v>
      </c>
      <c r="C483" s="130"/>
      <c r="D483" s="60">
        <v>376270875994</v>
      </c>
      <c r="E483" s="113">
        <v>351187</v>
      </c>
      <c r="F483" s="121"/>
      <c r="G483" s="122">
        <f>19.18+114.77</f>
        <v>133.94999999999999</v>
      </c>
      <c r="H483" s="131" t="s">
        <v>716</v>
      </c>
      <c r="J483" s="142" t="s">
        <v>305</v>
      </c>
    </row>
    <row r="484" spans="1:34" x14ac:dyDescent="0.2">
      <c r="A484" s="213">
        <v>42480</v>
      </c>
      <c r="B484" s="115" t="s">
        <v>127</v>
      </c>
      <c r="C484" s="130"/>
      <c r="D484" s="60">
        <v>376270875994</v>
      </c>
      <c r="E484" s="113">
        <v>351187</v>
      </c>
      <c r="F484" s="121"/>
      <c r="G484" s="122">
        <f>18.49+236.46</f>
        <v>254.95000000000002</v>
      </c>
      <c r="H484" s="131" t="s">
        <v>717</v>
      </c>
      <c r="J484" s="142" t="s">
        <v>305</v>
      </c>
    </row>
    <row r="485" spans="1:34" x14ac:dyDescent="0.2">
      <c r="A485" s="213">
        <v>42480</v>
      </c>
      <c r="B485" s="115" t="s">
        <v>127</v>
      </c>
      <c r="C485" s="130"/>
      <c r="D485" s="60">
        <v>376270875994</v>
      </c>
      <c r="E485" s="113">
        <v>351187</v>
      </c>
      <c r="F485" s="121"/>
      <c r="G485" s="122">
        <f>39.84+248.02</f>
        <v>287.86</v>
      </c>
      <c r="H485" s="131" t="s">
        <v>718</v>
      </c>
      <c r="J485" s="142" t="s">
        <v>305</v>
      </c>
    </row>
    <row r="486" spans="1:34" x14ac:dyDescent="0.2">
      <c r="A486" s="213">
        <v>42481</v>
      </c>
      <c r="B486" s="115" t="s">
        <v>127</v>
      </c>
      <c r="C486" s="130"/>
      <c r="D486" s="60">
        <v>376270875994</v>
      </c>
      <c r="E486" s="113">
        <v>351187</v>
      </c>
      <c r="F486" s="121"/>
      <c r="G486" s="122">
        <f>12.25+63.65</f>
        <v>75.900000000000006</v>
      </c>
      <c r="H486" s="131" t="s">
        <v>719</v>
      </c>
      <c r="J486" s="142" t="s">
        <v>305</v>
      </c>
    </row>
    <row r="487" spans="1:34" x14ac:dyDescent="0.2">
      <c r="A487" s="213">
        <v>42433</v>
      </c>
      <c r="B487" s="20" t="s">
        <v>127</v>
      </c>
      <c r="C487" s="130"/>
      <c r="D487" s="60">
        <v>376270713997</v>
      </c>
      <c r="E487" s="29">
        <v>351215</v>
      </c>
      <c r="F487" s="121"/>
      <c r="G487" s="122">
        <f>9.36+36.64</f>
        <v>46</v>
      </c>
      <c r="H487" s="131" t="s">
        <v>720</v>
      </c>
      <c r="J487" s="168" t="s">
        <v>305</v>
      </c>
    </row>
    <row r="488" spans="1:34" x14ac:dyDescent="0.2">
      <c r="A488" s="213">
        <v>42433</v>
      </c>
      <c r="B488" s="20" t="s">
        <v>127</v>
      </c>
      <c r="C488" s="130"/>
      <c r="D488" s="60">
        <v>376270713997</v>
      </c>
      <c r="E488" s="29">
        <v>351215</v>
      </c>
      <c r="F488" s="121"/>
      <c r="G488" s="122">
        <f>26.75+62.5</f>
        <v>89.25</v>
      </c>
      <c r="H488" s="131" t="s">
        <v>721</v>
      </c>
      <c r="J488" s="168" t="s">
        <v>305</v>
      </c>
    </row>
    <row r="489" spans="1:34" x14ac:dyDescent="0.2">
      <c r="A489" s="213">
        <v>42432</v>
      </c>
      <c r="B489" s="20" t="s">
        <v>127</v>
      </c>
      <c r="C489" s="130"/>
      <c r="D489" s="60">
        <v>376270713997</v>
      </c>
      <c r="E489" s="29">
        <v>351215</v>
      </c>
      <c r="F489" s="121"/>
      <c r="G489" s="122">
        <f>43+135</f>
        <v>178</v>
      </c>
      <c r="H489" s="131" t="s">
        <v>722</v>
      </c>
      <c r="J489" s="168" t="s">
        <v>305</v>
      </c>
    </row>
    <row r="490" spans="1:34" x14ac:dyDescent="0.2">
      <c r="A490" s="213">
        <v>42431</v>
      </c>
      <c r="B490" s="20" t="s">
        <v>127</v>
      </c>
      <c r="C490" s="130"/>
      <c r="D490" s="60">
        <v>376270713997</v>
      </c>
      <c r="E490" s="29">
        <v>351215</v>
      </c>
      <c r="F490" s="121"/>
      <c r="G490" s="122">
        <f>28.27+89.73</f>
        <v>118</v>
      </c>
      <c r="H490" s="131" t="s">
        <v>723</v>
      </c>
      <c r="J490" s="168" t="s">
        <v>305</v>
      </c>
    </row>
    <row r="491" spans="1:34" x14ac:dyDescent="0.2">
      <c r="A491" s="213">
        <v>42430</v>
      </c>
      <c r="B491" s="20" t="s">
        <v>127</v>
      </c>
      <c r="C491" s="130"/>
      <c r="D491" s="60">
        <v>376270713997</v>
      </c>
      <c r="E491" s="29">
        <v>351215</v>
      </c>
      <c r="F491" s="121"/>
      <c r="G491" s="122">
        <f>26.59+120.06</f>
        <v>146.65</v>
      </c>
      <c r="H491" s="131" t="s">
        <v>724</v>
      </c>
      <c r="J491" s="168" t="s">
        <v>305</v>
      </c>
    </row>
    <row r="492" spans="1:34" x14ac:dyDescent="0.2">
      <c r="A492" s="213">
        <v>42430</v>
      </c>
      <c r="B492" s="20" t="s">
        <v>127</v>
      </c>
      <c r="C492" s="130"/>
      <c r="D492" s="60">
        <v>376270713997</v>
      </c>
      <c r="E492" s="29">
        <v>351215</v>
      </c>
      <c r="F492" s="121"/>
      <c r="G492" s="122">
        <f>34.87+129.13</f>
        <v>164</v>
      </c>
      <c r="H492" s="131" t="s">
        <v>725</v>
      </c>
      <c r="J492" s="168" t="s">
        <v>305</v>
      </c>
    </row>
    <row r="493" spans="1:34" x14ac:dyDescent="0.2">
      <c r="A493" s="213">
        <v>42429</v>
      </c>
      <c r="B493" s="20" t="s">
        <v>127</v>
      </c>
      <c r="C493" s="130"/>
      <c r="D493" s="60">
        <v>376270713997</v>
      </c>
      <c r="E493" s="29">
        <v>351215</v>
      </c>
      <c r="F493" s="121"/>
      <c r="G493" s="122">
        <f>26.54+62.5</f>
        <v>89.039999999999992</v>
      </c>
      <c r="H493" s="131" t="s">
        <v>726</v>
      </c>
      <c r="J493" s="168" t="s">
        <v>305</v>
      </c>
    </row>
    <row r="494" spans="1:34" x14ac:dyDescent="0.2">
      <c r="A494" s="213">
        <v>42429</v>
      </c>
      <c r="B494" s="20" t="s">
        <v>127</v>
      </c>
      <c r="C494" s="130"/>
      <c r="D494" s="60">
        <v>376270713997</v>
      </c>
      <c r="E494" s="29">
        <v>351215</v>
      </c>
      <c r="F494" s="121"/>
      <c r="G494" s="122">
        <f>12.95+45.05</f>
        <v>58</v>
      </c>
      <c r="H494" s="131" t="s">
        <v>727</v>
      </c>
      <c r="J494" s="168" t="s">
        <v>305</v>
      </c>
    </row>
    <row r="495" spans="1:34" x14ac:dyDescent="0.2">
      <c r="A495" s="214">
        <v>42436</v>
      </c>
      <c r="B495" s="20" t="s">
        <v>127</v>
      </c>
      <c r="C495" s="19"/>
      <c r="D495" s="56">
        <v>376270713997</v>
      </c>
      <c r="E495" s="29">
        <v>351215</v>
      </c>
      <c r="F495" s="120"/>
      <c r="G495" s="141">
        <f>46.08+93.92</f>
        <v>140</v>
      </c>
      <c r="H495" s="134" t="s">
        <v>728</v>
      </c>
      <c r="I495" s="19"/>
      <c r="J495" s="124" t="s">
        <v>305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x14ac:dyDescent="0.2">
      <c r="A496" s="214">
        <v>42436</v>
      </c>
      <c r="B496" s="20" t="s">
        <v>127</v>
      </c>
      <c r="C496" s="19"/>
      <c r="D496" s="56">
        <v>376270713997</v>
      </c>
      <c r="E496" s="29">
        <v>351215</v>
      </c>
      <c r="F496" s="120"/>
      <c r="G496" s="141">
        <f>46.08+93.92</f>
        <v>140</v>
      </c>
      <c r="H496" s="134" t="s">
        <v>729</v>
      </c>
      <c r="I496" s="19"/>
      <c r="J496" s="124" t="s">
        <v>305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x14ac:dyDescent="0.2">
      <c r="A497" s="214">
        <v>42436</v>
      </c>
      <c r="B497" s="20" t="s">
        <v>127</v>
      </c>
      <c r="C497" s="19"/>
      <c r="D497" s="56">
        <v>376270713997</v>
      </c>
      <c r="E497" s="29">
        <v>351215</v>
      </c>
      <c r="F497" s="120"/>
      <c r="G497" s="141">
        <f>27.38+62.5</f>
        <v>89.88</v>
      </c>
      <c r="H497" s="134" t="s">
        <v>730</v>
      </c>
      <c r="I497" s="19"/>
      <c r="J497" s="124" t="s">
        <v>305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x14ac:dyDescent="0.2">
      <c r="A498" s="214">
        <v>42436</v>
      </c>
      <c r="B498" s="20" t="s">
        <v>127</v>
      </c>
      <c r="C498" s="19"/>
      <c r="D498" s="56">
        <v>376270713997</v>
      </c>
      <c r="E498" s="29">
        <v>351215</v>
      </c>
      <c r="F498" s="120"/>
      <c r="G498" s="141">
        <f>27.46+62.42</f>
        <v>89.88</v>
      </c>
      <c r="H498" s="134" t="s">
        <v>731</v>
      </c>
      <c r="I498" s="19"/>
      <c r="J498" s="124" t="s">
        <v>305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x14ac:dyDescent="0.2">
      <c r="A499" s="214">
        <v>42436</v>
      </c>
      <c r="B499" s="20" t="s">
        <v>127</v>
      </c>
      <c r="C499" s="19"/>
      <c r="D499" s="56">
        <v>376270713997</v>
      </c>
      <c r="E499" s="29">
        <v>351215</v>
      </c>
      <c r="F499" s="120"/>
      <c r="G499" s="141">
        <f>29.06+62.5</f>
        <v>91.56</v>
      </c>
      <c r="H499" s="134" t="s">
        <v>732</v>
      </c>
      <c r="I499" s="19"/>
      <c r="J499" s="124" t="s">
        <v>305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x14ac:dyDescent="0.2">
      <c r="A500" s="214">
        <v>42436</v>
      </c>
      <c r="B500" s="20" t="s">
        <v>127</v>
      </c>
      <c r="C500" s="19"/>
      <c r="D500" s="56">
        <v>376270713997</v>
      </c>
      <c r="E500" s="29">
        <v>351215</v>
      </c>
      <c r="F500" s="120"/>
      <c r="G500" s="141">
        <f>30.21+75.39</f>
        <v>105.6</v>
      </c>
      <c r="H500" s="134" t="s">
        <v>733</v>
      </c>
      <c r="I500" s="19"/>
      <c r="J500" s="124" t="s">
        <v>305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x14ac:dyDescent="0.2">
      <c r="A501" s="214">
        <v>42437</v>
      </c>
      <c r="B501" s="20" t="s">
        <v>127</v>
      </c>
      <c r="C501" s="19"/>
      <c r="D501" s="56">
        <v>376270713997</v>
      </c>
      <c r="E501" s="29">
        <v>351215</v>
      </c>
      <c r="F501" s="120"/>
      <c r="G501" s="141">
        <f>21.5+62.5</f>
        <v>84</v>
      </c>
      <c r="H501" s="134" t="s">
        <v>734</v>
      </c>
      <c r="I501" s="19"/>
      <c r="J501" s="124" t="s">
        <v>305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x14ac:dyDescent="0.2">
      <c r="A502" s="214">
        <v>42438</v>
      </c>
      <c r="B502" s="20" t="s">
        <v>127</v>
      </c>
      <c r="C502" s="19"/>
      <c r="D502" s="56">
        <v>376270713997</v>
      </c>
      <c r="E502" s="29">
        <v>351215</v>
      </c>
      <c r="F502" s="120"/>
      <c r="G502" s="141">
        <f>15.06+57.7</f>
        <v>72.760000000000005</v>
      </c>
      <c r="H502" s="134" t="s">
        <v>735</v>
      </c>
      <c r="I502" s="19"/>
      <c r="J502" s="124" t="s">
        <v>305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x14ac:dyDescent="0.2">
      <c r="A503" s="214">
        <v>42440</v>
      </c>
      <c r="B503" s="20" t="s">
        <v>127</v>
      </c>
      <c r="C503" s="19"/>
      <c r="D503" s="56">
        <v>376270713997</v>
      </c>
      <c r="E503" s="29">
        <v>351215</v>
      </c>
      <c r="F503" s="120"/>
      <c r="G503" s="141">
        <f>27.38+62.5</f>
        <v>89.88</v>
      </c>
      <c r="H503" s="134" t="s">
        <v>736</v>
      </c>
      <c r="I503" s="19"/>
      <c r="J503" s="124" t="s">
        <v>305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x14ac:dyDescent="0.2">
      <c r="A504" s="214">
        <v>42440</v>
      </c>
      <c r="B504" s="20" t="s">
        <v>127</v>
      </c>
      <c r="C504" s="19"/>
      <c r="D504" s="56">
        <v>376270713997</v>
      </c>
      <c r="E504" s="29">
        <v>351215</v>
      </c>
      <c r="F504" s="120"/>
      <c r="G504" s="141">
        <f>28.85+62.5</f>
        <v>91.35</v>
      </c>
      <c r="H504" s="134" t="s">
        <v>737</v>
      </c>
      <c r="I504" s="19"/>
      <c r="J504" s="124" t="s">
        <v>305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x14ac:dyDescent="0.2">
      <c r="A505" s="214">
        <v>42440</v>
      </c>
      <c r="B505" s="20" t="s">
        <v>127</v>
      </c>
      <c r="C505" s="19"/>
      <c r="D505" s="56">
        <v>376270713997</v>
      </c>
      <c r="E505" s="29">
        <v>351215</v>
      </c>
      <c r="F505" s="120"/>
      <c r="G505" s="141">
        <f>46.08+93.92</f>
        <v>140</v>
      </c>
      <c r="H505" s="134" t="s">
        <v>738</v>
      </c>
      <c r="I505" s="19"/>
      <c r="J505" s="124" t="s">
        <v>305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x14ac:dyDescent="0.2">
      <c r="A506" s="214">
        <v>42440</v>
      </c>
      <c r="B506" s="20" t="s">
        <v>127</v>
      </c>
      <c r="C506" s="19"/>
      <c r="D506" s="56">
        <v>376270713997</v>
      </c>
      <c r="E506" s="29">
        <v>351215</v>
      </c>
      <c r="F506" s="120"/>
      <c r="G506" s="141">
        <f>53.5+93.92</f>
        <v>147.42000000000002</v>
      </c>
      <c r="H506" s="134" t="s">
        <v>739</v>
      </c>
      <c r="I506" s="19"/>
      <c r="J506" s="124" t="s">
        <v>305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x14ac:dyDescent="0.2">
      <c r="A507" s="214">
        <v>42440</v>
      </c>
      <c r="B507" s="20" t="s">
        <v>127</v>
      </c>
      <c r="C507" s="19"/>
      <c r="D507" s="56">
        <v>376270713997</v>
      </c>
      <c r="E507" s="29">
        <v>351215</v>
      </c>
      <c r="F507" s="120"/>
      <c r="G507" s="141">
        <f>46.08+93.92</f>
        <v>140</v>
      </c>
      <c r="H507" s="134" t="s">
        <v>740</v>
      </c>
      <c r="I507" s="19"/>
      <c r="J507" s="124" t="s">
        <v>305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x14ac:dyDescent="0.2">
      <c r="A508" s="213">
        <v>42443</v>
      </c>
      <c r="B508" s="20" t="s">
        <v>127</v>
      </c>
      <c r="C508" s="130"/>
      <c r="D508" s="60">
        <v>376270723997</v>
      </c>
      <c r="E508" s="113">
        <v>351215</v>
      </c>
      <c r="F508" s="121"/>
      <c r="G508" s="122">
        <f>31.68+75.39</f>
        <v>107.07</v>
      </c>
      <c r="H508" s="134" t="s">
        <v>741</v>
      </c>
      <c r="J508" s="124" t="s">
        <v>305</v>
      </c>
    </row>
    <row r="509" spans="1:34" x14ac:dyDescent="0.2">
      <c r="A509" s="213">
        <v>42443</v>
      </c>
      <c r="B509" s="20" t="s">
        <v>127</v>
      </c>
      <c r="C509" s="130"/>
      <c r="D509" s="60">
        <v>376270723997</v>
      </c>
      <c r="E509" s="113">
        <v>351215</v>
      </c>
      <c r="F509" s="121"/>
      <c r="G509" s="122">
        <f>55.88+93.92</f>
        <v>149.80000000000001</v>
      </c>
      <c r="H509" s="134" t="s">
        <v>742</v>
      </c>
      <c r="J509" s="124" t="s">
        <v>305</v>
      </c>
    </row>
    <row r="510" spans="1:34" x14ac:dyDescent="0.2">
      <c r="A510" s="213">
        <v>42443</v>
      </c>
      <c r="B510" s="20" t="s">
        <v>127</v>
      </c>
      <c r="C510" s="130"/>
      <c r="D510" s="60">
        <v>376270723997</v>
      </c>
      <c r="E510" s="113">
        <v>351215</v>
      </c>
      <c r="F510" s="121"/>
      <c r="G510" s="122">
        <f>7.76+18.13</f>
        <v>25.89</v>
      </c>
      <c r="H510" s="134" t="s">
        <v>743</v>
      </c>
      <c r="J510" s="124" t="s">
        <v>305</v>
      </c>
    </row>
    <row r="511" spans="1:34" x14ac:dyDescent="0.2">
      <c r="A511" s="213">
        <v>42443</v>
      </c>
      <c r="B511" s="20" t="s">
        <v>127</v>
      </c>
      <c r="C511" s="130"/>
      <c r="D511" s="60">
        <v>376270723997</v>
      </c>
      <c r="E511" s="113">
        <v>351215</v>
      </c>
      <c r="F511" s="121"/>
      <c r="G511" s="122">
        <f>16.48+71.52</f>
        <v>88</v>
      </c>
      <c r="H511" s="134" t="s">
        <v>744</v>
      </c>
      <c r="J511" s="124" t="s">
        <v>305</v>
      </c>
    </row>
    <row r="512" spans="1:34" x14ac:dyDescent="0.2">
      <c r="A512" s="213">
        <v>42444</v>
      </c>
      <c r="B512" s="20" t="s">
        <v>127</v>
      </c>
      <c r="C512" s="130"/>
      <c r="D512" s="60">
        <v>376270723997</v>
      </c>
      <c r="E512" s="113">
        <v>351215</v>
      </c>
      <c r="F512" s="121"/>
      <c r="G512" s="122">
        <f>26.54+62.5</f>
        <v>89.039999999999992</v>
      </c>
      <c r="H512" s="134" t="s">
        <v>745</v>
      </c>
      <c r="J512" s="124" t="s">
        <v>305</v>
      </c>
    </row>
    <row r="513" spans="1:10" x14ac:dyDescent="0.2">
      <c r="A513" s="213">
        <v>42444</v>
      </c>
      <c r="B513" s="20" t="s">
        <v>127</v>
      </c>
      <c r="C513" s="130"/>
      <c r="D513" s="60">
        <v>376270723997</v>
      </c>
      <c r="E513" s="113">
        <v>351215</v>
      </c>
      <c r="F513" s="121"/>
      <c r="G513" s="122">
        <f>29.06+62.5</f>
        <v>91.56</v>
      </c>
      <c r="H513" s="134" t="s">
        <v>746</v>
      </c>
      <c r="J513" s="124" t="s">
        <v>305</v>
      </c>
    </row>
    <row r="514" spans="1:10" x14ac:dyDescent="0.2">
      <c r="A514" s="213">
        <v>42444</v>
      </c>
      <c r="B514" s="20" t="s">
        <v>127</v>
      </c>
      <c r="C514" s="130"/>
      <c r="D514" s="60">
        <v>376270723997</v>
      </c>
      <c r="E514" s="113">
        <v>351215</v>
      </c>
      <c r="F514" s="121"/>
      <c r="G514" s="122">
        <f>26.12+79.98</f>
        <v>106.10000000000001</v>
      </c>
      <c r="H514" s="134" t="s">
        <v>747</v>
      </c>
      <c r="J514" s="124" t="s">
        <v>305</v>
      </c>
    </row>
    <row r="515" spans="1:10" x14ac:dyDescent="0.2">
      <c r="A515" s="213">
        <v>42444</v>
      </c>
      <c r="B515" s="20" t="s">
        <v>127</v>
      </c>
      <c r="C515" s="130"/>
      <c r="D515" s="60">
        <v>376270723997</v>
      </c>
      <c r="E515" s="113">
        <v>351215</v>
      </c>
      <c r="F515" s="121"/>
      <c r="G515" s="122">
        <f>22.61+75.39</f>
        <v>98</v>
      </c>
      <c r="H515" s="134" t="s">
        <v>748</v>
      </c>
      <c r="J515" s="124" t="s">
        <v>305</v>
      </c>
    </row>
    <row r="516" spans="1:10" x14ac:dyDescent="0.2">
      <c r="A516" s="213">
        <v>42445</v>
      </c>
      <c r="B516" s="20" t="s">
        <v>127</v>
      </c>
      <c r="C516" s="130"/>
      <c r="D516" s="60">
        <v>376270723997</v>
      </c>
      <c r="E516" s="113">
        <v>351215</v>
      </c>
      <c r="F516" s="121"/>
      <c r="G516" s="122">
        <f>59.03+93.92</f>
        <v>152.94999999999999</v>
      </c>
      <c r="H516" s="134" t="s">
        <v>749</v>
      </c>
      <c r="J516" s="124" t="s">
        <v>305</v>
      </c>
    </row>
    <row r="517" spans="1:10" x14ac:dyDescent="0.2">
      <c r="A517" s="213">
        <v>42445</v>
      </c>
      <c r="B517" s="20" t="s">
        <v>127</v>
      </c>
      <c r="C517" s="130"/>
      <c r="D517" s="60">
        <v>376270723997</v>
      </c>
      <c r="E517" s="113">
        <v>351215</v>
      </c>
      <c r="F517" s="121"/>
      <c r="G517" s="122">
        <f>59.03+93.92</f>
        <v>152.94999999999999</v>
      </c>
      <c r="H517" s="134" t="s">
        <v>750</v>
      </c>
      <c r="J517" s="124" t="s">
        <v>305</v>
      </c>
    </row>
    <row r="518" spans="1:10" x14ac:dyDescent="0.2">
      <c r="A518" s="213">
        <v>42447</v>
      </c>
      <c r="B518" s="20" t="s">
        <v>127</v>
      </c>
      <c r="C518" s="130"/>
      <c r="D518" s="60">
        <v>376270723997</v>
      </c>
      <c r="E518" s="113">
        <v>351215</v>
      </c>
      <c r="F518" s="121"/>
      <c r="G518" s="122">
        <f>31.52+85.39</f>
        <v>116.91</v>
      </c>
      <c r="H518" s="134" t="s">
        <v>751</v>
      </c>
      <c r="J518" s="124" t="s">
        <v>305</v>
      </c>
    </row>
    <row r="519" spans="1:10" x14ac:dyDescent="0.2">
      <c r="A519" s="213">
        <v>42447</v>
      </c>
      <c r="B519" s="20" t="s">
        <v>127</v>
      </c>
      <c r="C519" s="130"/>
      <c r="D519" s="60">
        <v>376270723997</v>
      </c>
      <c r="E519" s="113">
        <v>351215</v>
      </c>
      <c r="F519" s="121"/>
      <c r="G519" s="122">
        <f>27.38+72.5</f>
        <v>99.88</v>
      </c>
      <c r="H519" s="134" t="s">
        <v>752</v>
      </c>
      <c r="J519" s="124" t="s">
        <v>305</v>
      </c>
    </row>
    <row r="520" spans="1:10" x14ac:dyDescent="0.2">
      <c r="A520" s="213">
        <v>42447</v>
      </c>
      <c r="B520" s="20" t="s">
        <v>127</v>
      </c>
      <c r="C520" s="130"/>
      <c r="D520" s="60">
        <v>376270723997</v>
      </c>
      <c r="E520" s="113">
        <v>351215</v>
      </c>
      <c r="F520" s="121"/>
      <c r="G520" s="122">
        <f>29.36+85.39</f>
        <v>114.75</v>
      </c>
      <c r="H520" s="134" t="s">
        <v>753</v>
      </c>
      <c r="J520" s="124" t="s">
        <v>305</v>
      </c>
    </row>
    <row r="521" spans="1:10" x14ac:dyDescent="0.2">
      <c r="A521" s="213">
        <v>42447</v>
      </c>
      <c r="B521" s="20" t="s">
        <v>127</v>
      </c>
      <c r="C521" s="130"/>
      <c r="D521" s="60">
        <v>376270723997</v>
      </c>
      <c r="E521" s="113">
        <v>351215</v>
      </c>
      <c r="F521" s="121"/>
      <c r="G521" s="122">
        <f>26.52+62.5</f>
        <v>89.02</v>
      </c>
      <c r="H521" s="134" t="s">
        <v>754</v>
      </c>
      <c r="J521" s="124" t="s">
        <v>305</v>
      </c>
    </row>
    <row r="522" spans="1:10" x14ac:dyDescent="0.2">
      <c r="A522" s="213">
        <v>42452</v>
      </c>
      <c r="B522" s="20" t="s">
        <v>127</v>
      </c>
      <c r="C522" s="130"/>
      <c r="D522" s="60">
        <v>376270713997</v>
      </c>
      <c r="E522" s="113">
        <v>351215</v>
      </c>
      <c r="F522" s="121"/>
      <c r="G522" s="122">
        <f>21.5+62.5</f>
        <v>84</v>
      </c>
      <c r="H522" s="131" t="s">
        <v>755</v>
      </c>
      <c r="J522" s="142" t="s">
        <v>305</v>
      </c>
    </row>
    <row r="523" spans="1:10" x14ac:dyDescent="0.2">
      <c r="A523" s="213">
        <v>42452</v>
      </c>
      <c r="B523" s="20" t="s">
        <v>127</v>
      </c>
      <c r="C523" s="130"/>
      <c r="D523" s="60">
        <v>376270713997</v>
      </c>
      <c r="E523" s="113">
        <v>351215</v>
      </c>
      <c r="F523" s="121"/>
      <c r="G523" s="122">
        <f>53.5+93.92</f>
        <v>147.42000000000002</v>
      </c>
      <c r="H523" s="131" t="s">
        <v>756</v>
      </c>
      <c r="J523" s="142" t="s">
        <v>305</v>
      </c>
    </row>
    <row r="524" spans="1:10" x14ac:dyDescent="0.2">
      <c r="A524" s="213">
        <v>42452</v>
      </c>
      <c r="B524" s="20" t="s">
        <v>127</v>
      </c>
      <c r="C524" s="130"/>
      <c r="D524" s="60">
        <v>376270713997</v>
      </c>
      <c r="E524" s="113">
        <v>351215</v>
      </c>
      <c r="F524" s="121"/>
      <c r="G524" s="122">
        <f>21.5+62.5</f>
        <v>84</v>
      </c>
      <c r="H524" s="131" t="s">
        <v>757</v>
      </c>
      <c r="J524" s="142" t="s">
        <v>305</v>
      </c>
    </row>
    <row r="525" spans="1:10" x14ac:dyDescent="0.2">
      <c r="A525" s="213">
        <v>42452</v>
      </c>
      <c r="B525" s="20" t="s">
        <v>127</v>
      </c>
      <c r="C525" s="130"/>
      <c r="D525" s="60">
        <v>376270713997</v>
      </c>
      <c r="E525" s="113">
        <v>351215</v>
      </c>
      <c r="F525" s="121"/>
      <c r="G525" s="122">
        <f>54.03+103.92</f>
        <v>157.94999999999999</v>
      </c>
      <c r="H525" s="131" t="s">
        <v>758</v>
      </c>
      <c r="J525" s="142" t="s">
        <v>305</v>
      </c>
    </row>
    <row r="526" spans="1:10" x14ac:dyDescent="0.2">
      <c r="A526" s="213">
        <v>42451</v>
      </c>
      <c r="B526" s="20" t="s">
        <v>127</v>
      </c>
      <c r="C526" s="130"/>
      <c r="D526" s="60">
        <v>376270713997</v>
      </c>
      <c r="E526" s="113">
        <v>351215</v>
      </c>
      <c r="F526" s="121"/>
      <c r="G526" s="122">
        <f>27.62+72.5</f>
        <v>100.12</v>
      </c>
      <c r="H526" s="131" t="s">
        <v>759</v>
      </c>
      <c r="J526" s="142" t="s">
        <v>305</v>
      </c>
    </row>
    <row r="527" spans="1:10" x14ac:dyDescent="0.2">
      <c r="A527" s="213">
        <v>42451</v>
      </c>
      <c r="B527" s="20" t="s">
        <v>127</v>
      </c>
      <c r="C527" s="130"/>
      <c r="D527" s="60">
        <v>376270713997</v>
      </c>
      <c r="E527" s="113">
        <v>351215</v>
      </c>
      <c r="F527" s="121"/>
      <c r="G527" s="122">
        <f>30.04+91.96</f>
        <v>122</v>
      </c>
      <c r="H527" s="131" t="s">
        <v>760</v>
      </c>
      <c r="J527" s="142" t="s">
        <v>305</v>
      </c>
    </row>
    <row r="528" spans="1:10" x14ac:dyDescent="0.2">
      <c r="A528" s="213">
        <v>42450</v>
      </c>
      <c r="B528" s="20" t="s">
        <v>127</v>
      </c>
      <c r="C528" s="130"/>
      <c r="D528" s="60">
        <v>376270713997</v>
      </c>
      <c r="E528" s="113">
        <v>351215</v>
      </c>
      <c r="F528" s="121"/>
      <c r="G528" s="122">
        <f>24.62+71.52</f>
        <v>96.14</v>
      </c>
      <c r="H528" s="131" t="s">
        <v>761</v>
      </c>
      <c r="J528" s="142" t="s">
        <v>305</v>
      </c>
    </row>
    <row r="529" spans="1:10" x14ac:dyDescent="0.2">
      <c r="A529" s="213">
        <v>42450</v>
      </c>
      <c r="B529" s="20" t="s">
        <v>127</v>
      </c>
      <c r="C529" s="130"/>
      <c r="D529" s="60">
        <v>376270713997</v>
      </c>
      <c r="E529" s="113">
        <v>351215</v>
      </c>
      <c r="F529" s="121"/>
      <c r="G529" s="122">
        <f>30.35+48.05</f>
        <v>78.400000000000006</v>
      </c>
      <c r="H529" s="131" t="s">
        <v>762</v>
      </c>
      <c r="J529" s="142" t="s">
        <v>305</v>
      </c>
    </row>
    <row r="530" spans="1:10" x14ac:dyDescent="0.2">
      <c r="A530" s="213">
        <v>42461</v>
      </c>
      <c r="B530" s="20" t="s">
        <v>127</v>
      </c>
      <c r="C530" s="130"/>
      <c r="D530" s="60">
        <v>376270713997</v>
      </c>
      <c r="E530" s="113">
        <v>351215</v>
      </c>
      <c r="F530" s="121"/>
      <c r="G530" s="145">
        <f>28.27+89.73</f>
        <v>118</v>
      </c>
      <c r="H530" s="134" t="s">
        <v>763</v>
      </c>
      <c r="J530" s="124" t="s">
        <v>305</v>
      </c>
    </row>
    <row r="531" spans="1:10" x14ac:dyDescent="0.2">
      <c r="A531" s="213">
        <v>42460</v>
      </c>
      <c r="B531" s="20" t="s">
        <v>127</v>
      </c>
      <c r="C531" s="130"/>
      <c r="D531" s="60">
        <v>376270713997</v>
      </c>
      <c r="E531" s="113">
        <v>351215</v>
      </c>
      <c r="F531" s="121"/>
      <c r="G531" s="145">
        <f>-55.88+-93.92</f>
        <v>-149.80000000000001</v>
      </c>
      <c r="H531" s="134" t="s">
        <v>742</v>
      </c>
      <c r="J531" s="124" t="s">
        <v>305</v>
      </c>
    </row>
    <row r="532" spans="1:10" x14ac:dyDescent="0.2">
      <c r="A532" s="213">
        <v>42460</v>
      </c>
      <c r="B532" s="20" t="s">
        <v>127</v>
      </c>
      <c r="C532" s="130"/>
      <c r="D532" s="60">
        <v>376270713997</v>
      </c>
      <c r="E532" s="113">
        <v>351215</v>
      </c>
      <c r="F532" s="121"/>
      <c r="G532" s="145">
        <f>28.85+62.5</f>
        <v>91.35</v>
      </c>
      <c r="H532" s="134" t="s">
        <v>764</v>
      </c>
      <c r="J532" s="124" t="s">
        <v>305</v>
      </c>
    </row>
    <row r="533" spans="1:10" x14ac:dyDescent="0.2">
      <c r="A533" s="213">
        <v>42460</v>
      </c>
      <c r="B533" s="20" t="s">
        <v>127</v>
      </c>
      <c r="C533" s="130"/>
      <c r="D533" s="60">
        <v>376270713997</v>
      </c>
      <c r="E533" s="113">
        <v>351215</v>
      </c>
      <c r="F533" s="121"/>
      <c r="G533" s="145">
        <f>26.54+62.5</f>
        <v>89.039999999999992</v>
      </c>
      <c r="H533" s="134" t="s">
        <v>765</v>
      </c>
      <c r="J533" s="124" t="s">
        <v>305</v>
      </c>
    </row>
    <row r="534" spans="1:10" x14ac:dyDescent="0.2">
      <c r="A534" s="213">
        <v>42459</v>
      </c>
      <c r="B534" s="20" t="s">
        <v>127</v>
      </c>
      <c r="C534" s="130"/>
      <c r="D534" s="60">
        <v>376270713997</v>
      </c>
      <c r="E534" s="113">
        <v>351215</v>
      </c>
      <c r="F534" s="121"/>
      <c r="G534" s="145">
        <f>55.81+106.57</f>
        <v>162.38</v>
      </c>
      <c r="H534" s="134" t="s">
        <v>766</v>
      </c>
      <c r="J534" s="124" t="s">
        <v>305</v>
      </c>
    </row>
    <row r="535" spans="1:10" x14ac:dyDescent="0.2">
      <c r="A535" s="213">
        <v>42459</v>
      </c>
      <c r="B535" s="20" t="s">
        <v>127</v>
      </c>
      <c r="C535" s="130"/>
      <c r="D535" s="60">
        <v>376270713997</v>
      </c>
      <c r="E535" s="113">
        <v>351215</v>
      </c>
      <c r="F535" s="121"/>
      <c r="G535" s="145">
        <f>21.5+62.5</f>
        <v>84</v>
      </c>
      <c r="H535" s="134" t="s">
        <v>767</v>
      </c>
      <c r="J535" s="124" t="s">
        <v>305</v>
      </c>
    </row>
    <row r="536" spans="1:10" x14ac:dyDescent="0.2">
      <c r="A536" s="213">
        <v>42459</v>
      </c>
      <c r="B536" s="20" t="s">
        <v>127</v>
      </c>
      <c r="C536" s="130"/>
      <c r="D536" s="60">
        <v>376270713997</v>
      </c>
      <c r="E536" s="113">
        <v>351215</v>
      </c>
      <c r="F536" s="121"/>
      <c r="G536" s="145">
        <f>18+42</f>
        <v>60</v>
      </c>
      <c r="H536" s="134" t="s">
        <v>768</v>
      </c>
      <c r="J536" s="124" t="s">
        <v>305</v>
      </c>
    </row>
    <row r="537" spans="1:10" x14ac:dyDescent="0.2">
      <c r="A537" s="213">
        <v>42458</v>
      </c>
      <c r="B537" s="20" t="s">
        <v>127</v>
      </c>
      <c r="C537" s="130"/>
      <c r="D537" s="60">
        <v>376270713997</v>
      </c>
      <c r="E537" s="113">
        <v>351215</v>
      </c>
      <c r="F537" s="121"/>
      <c r="G537" s="145">
        <f>21.5+62.5</f>
        <v>84</v>
      </c>
      <c r="H537" s="134" t="s">
        <v>769</v>
      </c>
      <c r="J537" s="124" t="s">
        <v>305</v>
      </c>
    </row>
    <row r="538" spans="1:10" x14ac:dyDescent="0.2">
      <c r="A538" s="213">
        <v>42458</v>
      </c>
      <c r="B538" s="20" t="s">
        <v>127</v>
      </c>
      <c r="C538" s="130"/>
      <c r="D538" s="60">
        <v>376270713997</v>
      </c>
      <c r="E538" s="113">
        <v>351215</v>
      </c>
      <c r="F538" s="121"/>
      <c r="G538" s="145">
        <f>21.5+62.5</f>
        <v>84</v>
      </c>
      <c r="H538" s="134" t="s">
        <v>770</v>
      </c>
      <c r="J538" s="124" t="s">
        <v>305</v>
      </c>
    </row>
    <row r="539" spans="1:10" x14ac:dyDescent="0.2">
      <c r="A539" s="213">
        <v>42458</v>
      </c>
      <c r="B539" s="20" t="s">
        <v>127</v>
      </c>
      <c r="C539" s="130"/>
      <c r="D539" s="60">
        <v>376270713997</v>
      </c>
      <c r="E539" s="113">
        <v>351215</v>
      </c>
      <c r="F539" s="121"/>
      <c r="G539" s="145">
        <f>0-84</f>
        <v>-84</v>
      </c>
      <c r="H539" s="134" t="s">
        <v>770</v>
      </c>
      <c r="J539" s="124" t="s">
        <v>305</v>
      </c>
    </row>
    <row r="540" spans="1:10" x14ac:dyDescent="0.2">
      <c r="A540" s="213">
        <v>42457</v>
      </c>
      <c r="B540" s="20" t="s">
        <v>127</v>
      </c>
      <c r="C540" s="130"/>
      <c r="D540" s="60">
        <v>376270713997</v>
      </c>
      <c r="E540" s="113">
        <v>351215</v>
      </c>
      <c r="F540" s="121"/>
      <c r="G540" s="145">
        <f>27.38+62.5</f>
        <v>89.88</v>
      </c>
      <c r="H540" s="134" t="s">
        <v>771</v>
      </c>
      <c r="J540" s="124" t="s">
        <v>305</v>
      </c>
    </row>
    <row r="541" spans="1:10" x14ac:dyDescent="0.2">
      <c r="A541" s="213">
        <v>42457</v>
      </c>
      <c r="B541" s="20" t="s">
        <v>127</v>
      </c>
      <c r="C541" s="130"/>
      <c r="D541" s="60">
        <v>376270713997</v>
      </c>
      <c r="E541" s="113">
        <v>351215</v>
      </c>
      <c r="F541" s="121"/>
      <c r="G541" s="145">
        <f>21.5+62.5</f>
        <v>84</v>
      </c>
      <c r="H541" s="134" t="s">
        <v>772</v>
      </c>
      <c r="J541" s="124" t="s">
        <v>305</v>
      </c>
    </row>
    <row r="542" spans="1:10" x14ac:dyDescent="0.2">
      <c r="A542" s="213">
        <v>42457</v>
      </c>
      <c r="B542" s="20" t="s">
        <v>127</v>
      </c>
      <c r="C542" s="130"/>
      <c r="D542" s="60">
        <v>376270713997</v>
      </c>
      <c r="E542" s="113">
        <v>351215</v>
      </c>
      <c r="F542" s="121"/>
      <c r="G542" s="145">
        <f>27.1+60.9</f>
        <v>88</v>
      </c>
      <c r="H542" s="134" t="s">
        <v>773</v>
      </c>
      <c r="J542" s="124" t="s">
        <v>305</v>
      </c>
    </row>
    <row r="543" spans="1:10" x14ac:dyDescent="0.2">
      <c r="A543" s="213">
        <v>42457</v>
      </c>
      <c r="B543" s="20" t="s">
        <v>127</v>
      </c>
      <c r="C543" s="130"/>
      <c r="D543" s="60">
        <v>376270713997</v>
      </c>
      <c r="E543" s="113">
        <v>351215</v>
      </c>
      <c r="F543" s="121"/>
      <c r="G543" s="145">
        <f>20.31+71.69</f>
        <v>92</v>
      </c>
      <c r="H543" s="134" t="s">
        <v>774</v>
      </c>
      <c r="J543" s="124" t="s">
        <v>305</v>
      </c>
    </row>
    <row r="544" spans="1:10" x14ac:dyDescent="0.2">
      <c r="A544" s="213">
        <v>42457</v>
      </c>
      <c r="B544" s="20" t="s">
        <v>127</v>
      </c>
      <c r="C544" s="130"/>
      <c r="D544" s="60">
        <v>376270713997</v>
      </c>
      <c r="E544" s="113">
        <v>351215</v>
      </c>
      <c r="F544" s="121"/>
      <c r="G544" s="145">
        <f>27.96+72.32</f>
        <v>100.28</v>
      </c>
      <c r="H544" s="134" t="s">
        <v>775</v>
      </c>
      <c r="J544" s="124" t="s">
        <v>305</v>
      </c>
    </row>
    <row r="545" spans="1:10" x14ac:dyDescent="0.2">
      <c r="A545" s="213">
        <v>42464</v>
      </c>
      <c r="B545" s="115" t="s">
        <v>127</v>
      </c>
      <c r="D545" s="121" t="s">
        <v>181</v>
      </c>
      <c r="E545" s="113">
        <v>351215</v>
      </c>
      <c r="F545" s="121"/>
      <c r="G545" s="122">
        <f>56.26+129.94</f>
        <v>186.2</v>
      </c>
      <c r="H545" s="117">
        <v>1863712</v>
      </c>
      <c r="J545" s="142" t="s">
        <v>305</v>
      </c>
    </row>
    <row r="546" spans="1:10" x14ac:dyDescent="0.2">
      <c r="A546" s="213">
        <v>42464</v>
      </c>
      <c r="B546" s="115" t="s">
        <v>127</v>
      </c>
      <c r="D546" s="121" t="s">
        <v>181</v>
      </c>
      <c r="E546" s="113">
        <v>351215</v>
      </c>
      <c r="F546" s="121"/>
      <c r="G546" s="122">
        <f>21.5+62.5</f>
        <v>84</v>
      </c>
      <c r="H546" s="117">
        <v>1871715</v>
      </c>
      <c r="J546" s="142" t="s">
        <v>305</v>
      </c>
    </row>
    <row r="547" spans="1:10" x14ac:dyDescent="0.2">
      <c r="A547" s="213">
        <v>42464</v>
      </c>
      <c r="B547" s="115" t="s">
        <v>127</v>
      </c>
      <c r="D547" s="121" t="s">
        <v>181</v>
      </c>
      <c r="E547" s="113">
        <v>351215</v>
      </c>
      <c r="F547" s="121"/>
      <c r="G547" s="122">
        <f>64.08+91.8</f>
        <v>155.88</v>
      </c>
      <c r="H547" s="117">
        <v>1871926</v>
      </c>
      <c r="J547" s="142" t="s">
        <v>305</v>
      </c>
    </row>
    <row r="548" spans="1:10" x14ac:dyDescent="0.2">
      <c r="A548" s="213">
        <v>42464</v>
      </c>
      <c r="B548" s="115" t="s">
        <v>127</v>
      </c>
      <c r="D548" s="121" t="s">
        <v>181</v>
      </c>
      <c r="E548" s="113">
        <v>351215</v>
      </c>
      <c r="F548" s="121"/>
      <c r="G548" s="122">
        <f>45.36+95.64</f>
        <v>141</v>
      </c>
      <c r="H548" s="117">
        <v>1868966</v>
      </c>
      <c r="J548" s="142" t="s">
        <v>305</v>
      </c>
    </row>
    <row r="549" spans="1:10" x14ac:dyDescent="0.2">
      <c r="A549" s="213">
        <v>42464</v>
      </c>
      <c r="B549" s="115" t="s">
        <v>127</v>
      </c>
      <c r="D549" s="121" t="s">
        <v>181</v>
      </c>
      <c r="E549" s="113">
        <v>351215</v>
      </c>
      <c r="F549" s="121"/>
      <c r="G549" s="122">
        <f>22.61+75.39</f>
        <v>98</v>
      </c>
      <c r="H549" s="117">
        <v>1868025</v>
      </c>
      <c r="J549" s="142" t="s">
        <v>305</v>
      </c>
    </row>
    <row r="550" spans="1:10" x14ac:dyDescent="0.2">
      <c r="A550" s="213">
        <v>42464</v>
      </c>
      <c r="B550" s="115" t="s">
        <v>127</v>
      </c>
      <c r="D550" s="121" t="s">
        <v>181</v>
      </c>
      <c r="E550" s="113">
        <v>351215</v>
      </c>
      <c r="F550" s="121"/>
      <c r="G550" s="122">
        <f>66.02+98.98</f>
        <v>165</v>
      </c>
      <c r="H550" s="117">
        <v>1868507</v>
      </c>
      <c r="J550" s="142" t="s">
        <v>305</v>
      </c>
    </row>
    <row r="551" spans="1:10" x14ac:dyDescent="0.2">
      <c r="A551" s="213">
        <v>42464</v>
      </c>
      <c r="B551" s="115" t="s">
        <v>127</v>
      </c>
      <c r="D551" s="121" t="s">
        <v>181</v>
      </c>
      <c r="E551" s="113">
        <v>351215</v>
      </c>
      <c r="F551" s="121"/>
      <c r="G551" s="122">
        <f>30.7+75.39</f>
        <v>106.09</v>
      </c>
      <c r="H551" s="117">
        <v>1868065</v>
      </c>
      <c r="J551" s="142" t="s">
        <v>305</v>
      </c>
    </row>
    <row r="552" spans="1:10" x14ac:dyDescent="0.2">
      <c r="A552" s="213">
        <v>42464</v>
      </c>
      <c r="B552" s="115" t="s">
        <v>127</v>
      </c>
      <c r="D552" s="121" t="s">
        <v>181</v>
      </c>
      <c r="E552" s="113">
        <v>351215</v>
      </c>
      <c r="F552" s="121"/>
      <c r="G552" s="122">
        <f>28.74+85.26</f>
        <v>114</v>
      </c>
      <c r="H552" s="117">
        <v>1867870</v>
      </c>
      <c r="J552" s="142" t="s">
        <v>305</v>
      </c>
    </row>
    <row r="553" spans="1:10" x14ac:dyDescent="0.2">
      <c r="A553" s="213">
        <v>42465</v>
      </c>
      <c r="B553" s="115" t="s">
        <v>127</v>
      </c>
      <c r="D553" s="121" t="s">
        <v>181</v>
      </c>
      <c r="E553" s="113">
        <v>351215</v>
      </c>
      <c r="F553" s="121"/>
      <c r="G553" s="122">
        <f>22.61+85.39</f>
        <v>108</v>
      </c>
      <c r="H553" s="117">
        <v>1876596</v>
      </c>
      <c r="J553" s="142" t="s">
        <v>305</v>
      </c>
    </row>
    <row r="554" spans="1:10" x14ac:dyDescent="0.2">
      <c r="A554" s="213">
        <v>42465</v>
      </c>
      <c r="B554" s="115" t="s">
        <v>127</v>
      </c>
      <c r="D554" s="121" t="s">
        <v>181</v>
      </c>
      <c r="E554" s="113">
        <v>351215</v>
      </c>
      <c r="F554" s="121"/>
      <c r="G554" s="122">
        <f>49.24+133.76</f>
        <v>183</v>
      </c>
      <c r="H554" s="117">
        <v>1869610</v>
      </c>
      <c r="J554" s="142" t="s">
        <v>305</v>
      </c>
    </row>
    <row r="555" spans="1:10" x14ac:dyDescent="0.2">
      <c r="A555" s="213">
        <v>42466</v>
      </c>
      <c r="B555" s="115" t="s">
        <v>127</v>
      </c>
      <c r="D555" s="121" t="s">
        <v>181</v>
      </c>
      <c r="E555" s="113">
        <v>351215</v>
      </c>
      <c r="F555" s="121"/>
      <c r="G555" s="122">
        <v>-98</v>
      </c>
      <c r="H555" s="117">
        <v>1824179</v>
      </c>
      <c r="J555" s="142" t="s">
        <v>305</v>
      </c>
    </row>
    <row r="556" spans="1:10" x14ac:dyDescent="0.2">
      <c r="A556" s="213">
        <v>42466</v>
      </c>
      <c r="B556" s="115" t="s">
        <v>127</v>
      </c>
      <c r="D556" s="121" t="s">
        <v>181</v>
      </c>
      <c r="E556" s="113">
        <v>351215</v>
      </c>
      <c r="F556" s="121"/>
      <c r="G556" s="122">
        <f>55.84+111.16</f>
        <v>167</v>
      </c>
      <c r="H556" s="117">
        <v>1875828</v>
      </c>
      <c r="J556" s="142" t="s">
        <v>305</v>
      </c>
    </row>
    <row r="557" spans="1:10" x14ac:dyDescent="0.2">
      <c r="A557" s="213">
        <v>42467</v>
      </c>
      <c r="B557" s="115" t="s">
        <v>127</v>
      </c>
      <c r="D557" s="121" t="s">
        <v>181</v>
      </c>
      <c r="E557" s="113">
        <v>351215</v>
      </c>
      <c r="F557" s="121"/>
      <c r="G557" s="122">
        <f>15.48+31.55</f>
        <v>47.03</v>
      </c>
      <c r="H557" s="117">
        <v>1883234</v>
      </c>
      <c r="J557" s="142" t="s">
        <v>305</v>
      </c>
    </row>
    <row r="558" spans="1:10" x14ac:dyDescent="0.2">
      <c r="A558" s="213">
        <v>42467</v>
      </c>
      <c r="B558" s="115" t="s">
        <v>127</v>
      </c>
      <c r="D558" s="121" t="s">
        <v>181</v>
      </c>
      <c r="E558" s="113">
        <v>351215</v>
      </c>
      <c r="F558" s="121"/>
      <c r="G558" s="122">
        <f>27.85+72.5</f>
        <v>100.35</v>
      </c>
      <c r="H558" s="117">
        <v>1881241</v>
      </c>
      <c r="J558" s="142" t="s">
        <v>305</v>
      </c>
    </row>
    <row r="559" spans="1:10" x14ac:dyDescent="0.2">
      <c r="A559" s="213">
        <v>42467</v>
      </c>
      <c r="B559" s="115" t="s">
        <v>127</v>
      </c>
      <c r="D559" s="121" t="s">
        <v>181</v>
      </c>
      <c r="E559" s="113">
        <v>351215</v>
      </c>
      <c r="F559" s="121"/>
      <c r="G559" s="122">
        <f>29.32+74.36</f>
        <v>103.68</v>
      </c>
      <c r="H559" s="117">
        <v>1881245</v>
      </c>
      <c r="J559" s="142" t="s">
        <v>305</v>
      </c>
    </row>
    <row r="560" spans="1:10" x14ac:dyDescent="0.2">
      <c r="A560" s="213">
        <v>42467</v>
      </c>
      <c r="B560" s="115" t="s">
        <v>127</v>
      </c>
      <c r="D560" s="121" t="s">
        <v>181</v>
      </c>
      <c r="E560" s="113">
        <v>351215</v>
      </c>
      <c r="F560" s="121"/>
      <c r="G560" s="122">
        <f>21.5+72.5</f>
        <v>94</v>
      </c>
      <c r="H560" s="117">
        <v>1881290</v>
      </c>
      <c r="J560" s="142" t="s">
        <v>305</v>
      </c>
    </row>
    <row r="561" spans="1:10" x14ac:dyDescent="0.2">
      <c r="A561" s="213">
        <v>42468</v>
      </c>
      <c r="B561" s="115" t="s">
        <v>127</v>
      </c>
      <c r="D561" s="121" t="s">
        <v>181</v>
      </c>
      <c r="E561" s="113">
        <v>351215</v>
      </c>
      <c r="F561" s="121"/>
      <c r="G561" s="122">
        <f>14.93+120.07</f>
        <v>135</v>
      </c>
      <c r="H561" s="117">
        <v>1883964</v>
      </c>
      <c r="J561" s="142" t="s">
        <v>305</v>
      </c>
    </row>
    <row r="562" spans="1:10" x14ac:dyDescent="0.2">
      <c r="A562" s="213">
        <v>42468</v>
      </c>
      <c r="B562" s="115" t="s">
        <v>127</v>
      </c>
      <c r="D562" s="121" t="s">
        <v>181</v>
      </c>
      <c r="E562" s="113">
        <v>351215</v>
      </c>
      <c r="F562" s="121"/>
      <c r="G562" s="122">
        <f>25.58+71.69</f>
        <v>97.27</v>
      </c>
      <c r="H562" s="117">
        <v>1885730</v>
      </c>
      <c r="J562" s="142" t="s">
        <v>305</v>
      </c>
    </row>
    <row r="563" spans="1:10" x14ac:dyDescent="0.2">
      <c r="A563" s="213">
        <v>42468</v>
      </c>
      <c r="B563" s="115" t="s">
        <v>127</v>
      </c>
      <c r="D563" s="121" t="s">
        <v>181</v>
      </c>
      <c r="E563" s="113">
        <v>351215</v>
      </c>
      <c r="F563" s="121"/>
      <c r="G563" s="122">
        <f>22.61+85.39</f>
        <v>108</v>
      </c>
      <c r="H563" s="117">
        <v>1876596</v>
      </c>
      <c r="J563" s="142" t="s">
        <v>305</v>
      </c>
    </row>
    <row r="564" spans="1:10" x14ac:dyDescent="0.2">
      <c r="A564" s="213">
        <v>42475</v>
      </c>
      <c r="B564" s="115" t="s">
        <v>127</v>
      </c>
      <c r="C564" s="130"/>
      <c r="D564" s="60">
        <v>376270713997</v>
      </c>
      <c r="E564" s="113">
        <v>351215</v>
      </c>
      <c r="F564" s="121"/>
      <c r="G564" s="122">
        <f>33.26+102.06</f>
        <v>135.32</v>
      </c>
      <c r="H564" s="131" t="s">
        <v>776</v>
      </c>
      <c r="J564" s="142" t="s">
        <v>305</v>
      </c>
    </row>
    <row r="565" spans="1:10" x14ac:dyDescent="0.2">
      <c r="A565" s="213">
        <v>42473</v>
      </c>
      <c r="B565" s="115" t="s">
        <v>127</v>
      </c>
      <c r="C565" s="130"/>
      <c r="D565" s="60">
        <v>376270713997</v>
      </c>
      <c r="E565" s="113">
        <v>351215</v>
      </c>
      <c r="F565" s="121"/>
      <c r="G565" s="122">
        <f>21.5+62.5</f>
        <v>84</v>
      </c>
      <c r="H565" s="131" t="s">
        <v>777</v>
      </c>
      <c r="J565" s="142" t="s">
        <v>305</v>
      </c>
    </row>
    <row r="566" spans="1:10" x14ac:dyDescent="0.2">
      <c r="A566" s="213">
        <v>42473</v>
      </c>
      <c r="B566" s="115" t="s">
        <v>127</v>
      </c>
      <c r="C566" s="130"/>
      <c r="D566" s="60">
        <v>376270713997</v>
      </c>
      <c r="E566" s="113">
        <v>351215</v>
      </c>
      <c r="F566" s="121"/>
      <c r="G566" s="122">
        <f>27.3+70.7</f>
        <v>98</v>
      </c>
      <c r="H566" s="131" t="s">
        <v>778</v>
      </c>
      <c r="J566" s="142" t="s">
        <v>305</v>
      </c>
    </row>
    <row r="567" spans="1:10" x14ac:dyDescent="0.2">
      <c r="A567" s="213">
        <v>42473</v>
      </c>
      <c r="B567" s="115" t="s">
        <v>127</v>
      </c>
      <c r="C567" s="130"/>
      <c r="D567" s="60">
        <v>376270713997</v>
      </c>
      <c r="E567" s="113">
        <v>351215</v>
      </c>
      <c r="F567" s="121"/>
      <c r="G567" s="122">
        <f>28.08+72.5</f>
        <v>100.58</v>
      </c>
      <c r="H567" s="131" t="s">
        <v>779</v>
      </c>
      <c r="J567" s="142" t="s">
        <v>305</v>
      </c>
    </row>
    <row r="568" spans="1:10" x14ac:dyDescent="0.2">
      <c r="A568" s="213">
        <v>42471</v>
      </c>
      <c r="B568" s="115" t="s">
        <v>127</v>
      </c>
      <c r="C568" s="130"/>
      <c r="D568" s="60">
        <v>376270713997</v>
      </c>
      <c r="E568" s="113">
        <v>351215</v>
      </c>
      <c r="F568" s="121"/>
      <c r="G568" s="122">
        <f>89+222.7</f>
        <v>311.7</v>
      </c>
      <c r="H568" s="131" t="s">
        <v>780</v>
      </c>
      <c r="J568" s="142" t="s">
        <v>305</v>
      </c>
    </row>
    <row r="569" spans="1:10" x14ac:dyDescent="0.2">
      <c r="A569" s="213">
        <v>42478</v>
      </c>
      <c r="B569" s="115" t="s">
        <v>127</v>
      </c>
      <c r="C569" s="130"/>
      <c r="D569" s="60">
        <v>376270713997</v>
      </c>
      <c r="E569" s="113">
        <v>351215</v>
      </c>
      <c r="F569" s="121"/>
      <c r="G569" s="122">
        <f>24.2+69.8</f>
        <v>94</v>
      </c>
      <c r="H569" s="131" t="s">
        <v>781</v>
      </c>
      <c r="J569" s="142" t="s">
        <v>305</v>
      </c>
    </row>
    <row r="570" spans="1:10" x14ac:dyDescent="0.2">
      <c r="A570" s="213">
        <v>42478</v>
      </c>
      <c r="B570" s="115" t="s">
        <v>127</v>
      </c>
      <c r="C570" s="130"/>
      <c r="D570" s="60">
        <v>376270713997</v>
      </c>
      <c r="E570" s="113">
        <v>351215</v>
      </c>
      <c r="F570" s="121"/>
      <c r="G570" s="122">
        <f>24.5+69.5</f>
        <v>94</v>
      </c>
      <c r="H570" s="131" t="s">
        <v>782</v>
      </c>
      <c r="J570" s="142" t="s">
        <v>305</v>
      </c>
    </row>
    <row r="571" spans="1:10" x14ac:dyDescent="0.2">
      <c r="A571" s="213">
        <v>42478</v>
      </c>
      <c r="B571" s="115" t="s">
        <v>127</v>
      </c>
      <c r="C571" s="130"/>
      <c r="D571" s="60">
        <v>376270713997</v>
      </c>
      <c r="E571" s="113">
        <v>351215</v>
      </c>
      <c r="F571" s="121"/>
      <c r="G571" s="122">
        <f>14.28+37.67</f>
        <v>51.95</v>
      </c>
      <c r="H571" s="131" t="s">
        <v>783</v>
      </c>
      <c r="J571" s="142" t="s">
        <v>305</v>
      </c>
    </row>
    <row r="572" spans="1:10" x14ac:dyDescent="0.2">
      <c r="A572" s="213">
        <v>42479</v>
      </c>
      <c r="B572" s="115" t="s">
        <v>127</v>
      </c>
      <c r="C572" s="130"/>
      <c r="D572" s="60">
        <v>376270713997</v>
      </c>
      <c r="E572" s="113">
        <v>351215</v>
      </c>
      <c r="F572" s="121"/>
      <c r="G572" s="122">
        <f>20.48+38.79</f>
        <v>59.269999999999996</v>
      </c>
      <c r="H572" s="131" t="s">
        <v>784</v>
      </c>
      <c r="J572" s="142" t="s">
        <v>305</v>
      </c>
    </row>
    <row r="573" spans="1:10" x14ac:dyDescent="0.2">
      <c r="A573" s="213">
        <v>42479</v>
      </c>
      <c r="B573" s="115" t="s">
        <v>127</v>
      </c>
      <c r="C573" s="130"/>
      <c r="D573" s="60">
        <v>376270713997</v>
      </c>
      <c r="E573" s="113">
        <v>351215</v>
      </c>
      <c r="F573" s="121"/>
      <c r="G573" s="122">
        <f>30.08+59.8</f>
        <v>89.88</v>
      </c>
      <c r="H573" s="131" t="s">
        <v>785</v>
      </c>
      <c r="J573" s="142" t="s">
        <v>305</v>
      </c>
    </row>
    <row r="574" spans="1:10" x14ac:dyDescent="0.2">
      <c r="A574" s="213">
        <v>42479</v>
      </c>
      <c r="B574" s="115" t="s">
        <v>127</v>
      </c>
      <c r="C574" s="130"/>
      <c r="D574" s="60">
        <v>376270713997</v>
      </c>
      <c r="E574" s="113">
        <v>351215</v>
      </c>
      <c r="F574" s="121"/>
      <c r="G574" s="122">
        <f>29.2+71.8</f>
        <v>101</v>
      </c>
      <c r="H574" s="131" t="s">
        <v>786</v>
      </c>
      <c r="J574" s="142" t="s">
        <v>305</v>
      </c>
    </row>
    <row r="575" spans="1:10" x14ac:dyDescent="0.2">
      <c r="A575" s="213">
        <v>42480</v>
      </c>
      <c r="B575" s="115" t="s">
        <v>127</v>
      </c>
      <c r="C575" s="130"/>
      <c r="D575" s="60">
        <v>376270713997</v>
      </c>
      <c r="E575" s="113">
        <v>351215</v>
      </c>
      <c r="F575" s="121"/>
      <c r="G575" s="122">
        <f>84.84+113.16</f>
        <v>198</v>
      </c>
      <c r="H575" s="131" t="s">
        <v>787</v>
      </c>
      <c r="J575" s="142" t="s">
        <v>305</v>
      </c>
    </row>
    <row r="576" spans="1:10" x14ac:dyDescent="0.2">
      <c r="A576" s="213">
        <v>42480</v>
      </c>
      <c r="B576" s="115" t="s">
        <v>127</v>
      </c>
      <c r="C576" s="130"/>
      <c r="D576" s="60">
        <v>376270713997</v>
      </c>
      <c r="E576" s="113">
        <v>351215</v>
      </c>
      <c r="F576" s="121"/>
      <c r="G576" s="122">
        <f>38.43+60.15</f>
        <v>98.58</v>
      </c>
      <c r="H576" s="131" t="s">
        <v>788</v>
      </c>
      <c r="J576" s="142" t="s">
        <v>305</v>
      </c>
    </row>
    <row r="577" spans="1:10" x14ac:dyDescent="0.2">
      <c r="A577" s="213">
        <v>42480</v>
      </c>
      <c r="B577" s="115" t="s">
        <v>127</v>
      </c>
      <c r="C577" s="130"/>
      <c r="D577" s="60">
        <v>376270713997</v>
      </c>
      <c r="E577" s="113">
        <v>351215</v>
      </c>
      <c r="F577" s="121"/>
      <c r="G577" s="122">
        <f>15.24+38.04</f>
        <v>53.28</v>
      </c>
      <c r="H577" s="131" t="s">
        <v>789</v>
      </c>
      <c r="J577" s="142" t="s">
        <v>305</v>
      </c>
    </row>
    <row r="578" spans="1:10" x14ac:dyDescent="0.2">
      <c r="A578" s="213">
        <v>42481</v>
      </c>
      <c r="B578" s="115" t="s">
        <v>127</v>
      </c>
      <c r="C578" s="130"/>
      <c r="D578" s="60">
        <v>376270713997</v>
      </c>
      <c r="E578" s="113">
        <v>351215</v>
      </c>
      <c r="F578" s="121"/>
      <c r="G578" s="122">
        <f>27.15+93.07</f>
        <v>120.22</v>
      </c>
      <c r="H578" s="131" t="s">
        <v>790</v>
      </c>
      <c r="J578" s="142" t="s">
        <v>305</v>
      </c>
    </row>
    <row r="579" spans="1:10" x14ac:dyDescent="0.2">
      <c r="A579" s="213">
        <v>42490</v>
      </c>
      <c r="B579" s="115" t="s">
        <v>127</v>
      </c>
      <c r="C579" s="130"/>
      <c r="D579" s="60">
        <v>376270713997</v>
      </c>
      <c r="E579" s="113">
        <v>351215</v>
      </c>
      <c r="F579" s="121"/>
      <c r="G579" s="122">
        <f>25.53+54.47</f>
        <v>80</v>
      </c>
      <c r="H579" s="134" t="s">
        <v>791</v>
      </c>
      <c r="J579" s="124" t="s">
        <v>305</v>
      </c>
    </row>
    <row r="580" spans="1:10" x14ac:dyDescent="0.2">
      <c r="A580" s="213">
        <v>42490</v>
      </c>
      <c r="B580" s="115" t="s">
        <v>127</v>
      </c>
      <c r="C580" s="130"/>
      <c r="D580" s="60">
        <v>376270713997</v>
      </c>
      <c r="E580" s="113">
        <v>351215</v>
      </c>
      <c r="F580" s="121"/>
      <c r="G580" s="122">
        <f>71.56+131.44</f>
        <v>203</v>
      </c>
      <c r="H580" s="134" t="s">
        <v>792</v>
      </c>
      <c r="J580" s="124" t="s">
        <v>305</v>
      </c>
    </row>
    <row r="581" spans="1:10" x14ac:dyDescent="0.2">
      <c r="A581" s="213">
        <v>42489</v>
      </c>
      <c r="B581" s="115" t="s">
        <v>127</v>
      </c>
      <c r="C581" s="130"/>
      <c r="D581" s="60">
        <v>376270713997</v>
      </c>
      <c r="E581" s="113">
        <v>351215</v>
      </c>
      <c r="F581" s="121"/>
      <c r="G581" s="122">
        <f>28.14+89.51</f>
        <v>117.65</v>
      </c>
      <c r="H581" s="134" t="s">
        <v>793</v>
      </c>
      <c r="J581" s="124" t="s">
        <v>305</v>
      </c>
    </row>
    <row r="582" spans="1:10" x14ac:dyDescent="0.2">
      <c r="A582" s="213">
        <v>42489</v>
      </c>
      <c r="B582" s="115" t="s">
        <v>127</v>
      </c>
      <c r="C582" s="130"/>
      <c r="D582" s="60">
        <v>376270713997</v>
      </c>
      <c r="E582" s="113">
        <v>351215</v>
      </c>
      <c r="F582" s="121"/>
      <c r="G582" s="122">
        <f>30.92+59.8</f>
        <v>90.72</v>
      </c>
      <c r="H582" s="134" t="s">
        <v>794</v>
      </c>
      <c r="J582" s="124" t="s">
        <v>305</v>
      </c>
    </row>
    <row r="583" spans="1:10" x14ac:dyDescent="0.2">
      <c r="A583" s="213">
        <v>42488</v>
      </c>
      <c r="B583" s="115" t="s">
        <v>127</v>
      </c>
      <c r="C583" s="130"/>
      <c r="D583" s="60">
        <v>376270713997</v>
      </c>
      <c r="E583" s="113">
        <v>351215</v>
      </c>
      <c r="F583" s="121"/>
      <c r="G583" s="122">
        <f>18.26+34.74</f>
        <v>53</v>
      </c>
      <c r="H583" s="134" t="s">
        <v>795</v>
      </c>
      <c r="J583" s="124" t="s">
        <v>305</v>
      </c>
    </row>
    <row r="584" spans="1:10" x14ac:dyDescent="0.2">
      <c r="A584" s="213">
        <v>42488</v>
      </c>
      <c r="B584" s="115" t="s">
        <v>127</v>
      </c>
      <c r="C584" s="130"/>
      <c r="D584" s="60">
        <v>376270713997</v>
      </c>
      <c r="E584" s="113">
        <v>351215</v>
      </c>
      <c r="F584" s="121"/>
      <c r="G584" s="122">
        <f>37.28+67.58</f>
        <v>104.86</v>
      </c>
      <c r="H584" s="134" t="s">
        <v>796</v>
      </c>
      <c r="J584" s="124" t="s">
        <v>305</v>
      </c>
    </row>
    <row r="585" spans="1:10" x14ac:dyDescent="0.2">
      <c r="A585" s="213">
        <v>42488</v>
      </c>
      <c r="B585" s="115" t="s">
        <v>127</v>
      </c>
      <c r="C585" s="130"/>
      <c r="D585" s="60">
        <v>376270713997</v>
      </c>
      <c r="E585" s="113">
        <v>351215</v>
      </c>
      <c r="F585" s="121"/>
      <c r="G585" s="122">
        <f>20.32+42.68</f>
        <v>63</v>
      </c>
      <c r="H585" s="134" t="s">
        <v>797</v>
      </c>
      <c r="J585" s="124" t="s">
        <v>305</v>
      </c>
    </row>
    <row r="586" spans="1:10" x14ac:dyDescent="0.2">
      <c r="A586" s="213">
        <v>42487</v>
      </c>
      <c r="B586" s="115" t="s">
        <v>127</v>
      </c>
      <c r="C586" s="130"/>
      <c r="D586" s="60">
        <v>376270713997</v>
      </c>
      <c r="E586" s="113">
        <v>351215</v>
      </c>
      <c r="F586" s="121"/>
      <c r="G586" s="122">
        <f>24.2+59.8</f>
        <v>84</v>
      </c>
      <c r="H586" s="134" t="s">
        <v>798</v>
      </c>
      <c r="J586" s="124" t="s">
        <v>305</v>
      </c>
    </row>
    <row r="587" spans="1:10" x14ac:dyDescent="0.2">
      <c r="A587" s="213">
        <v>42486</v>
      </c>
      <c r="B587" s="115" t="s">
        <v>127</v>
      </c>
      <c r="C587" s="130"/>
      <c r="D587" s="60">
        <v>376270713997</v>
      </c>
      <c r="E587" s="113">
        <v>351215</v>
      </c>
      <c r="F587" s="121"/>
      <c r="G587" s="122">
        <f>59.26+139</f>
        <v>198.26</v>
      </c>
      <c r="H587" s="134" t="s">
        <v>799</v>
      </c>
      <c r="J587" s="124" t="s">
        <v>305</v>
      </c>
    </row>
    <row r="588" spans="1:10" x14ac:dyDescent="0.2">
      <c r="A588" s="213">
        <v>42486</v>
      </c>
      <c r="B588" s="115" t="s">
        <v>127</v>
      </c>
      <c r="C588" s="130"/>
      <c r="D588" s="60">
        <v>376270713997</v>
      </c>
      <c r="E588" s="113">
        <v>351215</v>
      </c>
      <c r="F588" s="121"/>
      <c r="G588" s="122">
        <f>39.33+77.58</f>
        <v>116.91</v>
      </c>
      <c r="H588" s="134" t="s">
        <v>800</v>
      </c>
      <c r="J588" s="124" t="s">
        <v>305</v>
      </c>
    </row>
    <row r="589" spans="1:10" x14ac:dyDescent="0.2">
      <c r="A589" s="213">
        <v>42486</v>
      </c>
      <c r="B589" s="115" t="s">
        <v>127</v>
      </c>
      <c r="C589" s="130"/>
      <c r="D589" s="60">
        <v>376270713997</v>
      </c>
      <c r="E589" s="113">
        <v>351215</v>
      </c>
      <c r="F589" s="121"/>
      <c r="G589" s="122">
        <f>37.78+67.58</f>
        <v>105.36</v>
      </c>
      <c r="H589" s="134" t="s">
        <v>801</v>
      </c>
      <c r="J589" s="124" t="s">
        <v>305</v>
      </c>
    </row>
    <row r="590" spans="1:10" x14ac:dyDescent="0.2">
      <c r="A590" s="213">
        <v>42485</v>
      </c>
      <c r="B590" s="115" t="s">
        <v>127</v>
      </c>
      <c r="C590" s="130"/>
      <c r="D590" s="60">
        <v>376270713997</v>
      </c>
      <c r="E590" s="113">
        <v>351215</v>
      </c>
      <c r="F590" s="121"/>
      <c r="G590" s="122">
        <f>56.38+105.8</f>
        <v>162.18</v>
      </c>
      <c r="H590" s="134" t="s">
        <v>802</v>
      </c>
      <c r="J590" s="124" t="s">
        <v>305</v>
      </c>
    </row>
    <row r="591" spans="1:10" x14ac:dyDescent="0.2">
      <c r="A591" s="213">
        <v>42485</v>
      </c>
      <c r="B591" s="115" t="s">
        <v>127</v>
      </c>
      <c r="C591" s="130"/>
      <c r="D591" s="60">
        <v>376270713997</v>
      </c>
      <c r="E591" s="113">
        <v>351215</v>
      </c>
      <c r="F591" s="121"/>
      <c r="G591" s="122">
        <f>35.46+88.49</f>
        <v>123.94999999999999</v>
      </c>
      <c r="H591" s="134" t="s">
        <v>803</v>
      </c>
      <c r="J591" s="124" t="s">
        <v>305</v>
      </c>
    </row>
    <row r="592" spans="1:10" x14ac:dyDescent="0.2">
      <c r="A592" s="213">
        <v>42485</v>
      </c>
      <c r="B592" s="115" t="s">
        <v>127</v>
      </c>
      <c r="C592" s="130"/>
      <c r="D592" s="60">
        <v>376270713997</v>
      </c>
      <c r="E592" s="113">
        <v>351215</v>
      </c>
      <c r="F592" s="121"/>
      <c r="G592" s="122">
        <f>33.05+54.95</f>
        <v>88</v>
      </c>
      <c r="H592" s="134" t="s">
        <v>804</v>
      </c>
      <c r="J592" s="124" t="s">
        <v>305</v>
      </c>
    </row>
    <row r="593" spans="1:34" x14ac:dyDescent="0.2">
      <c r="A593" s="213">
        <v>38832</v>
      </c>
      <c r="B593" s="115" t="s">
        <v>127</v>
      </c>
      <c r="C593" s="130"/>
      <c r="D593" s="60">
        <v>376270713997</v>
      </c>
      <c r="E593" s="113">
        <v>351215</v>
      </c>
      <c r="F593" s="121"/>
      <c r="G593" s="122">
        <f>24.2+69.8</f>
        <v>94</v>
      </c>
      <c r="H593" s="134" t="s">
        <v>805</v>
      </c>
      <c r="J593" s="124" t="s">
        <v>305</v>
      </c>
    </row>
    <row r="594" spans="1:34" x14ac:dyDescent="0.2">
      <c r="A594" s="213">
        <v>42485</v>
      </c>
      <c r="B594" s="115" t="s">
        <v>127</v>
      </c>
      <c r="C594" s="130"/>
      <c r="D594" s="60">
        <v>376270713997</v>
      </c>
      <c r="E594" s="113">
        <v>351215</v>
      </c>
      <c r="F594" s="121"/>
      <c r="G594" s="122">
        <f>19.67+38.79</f>
        <v>58.46</v>
      </c>
      <c r="H594" s="134" t="s">
        <v>806</v>
      </c>
      <c r="J594" s="124" t="s">
        <v>305</v>
      </c>
    </row>
    <row r="595" spans="1:34" x14ac:dyDescent="0.2">
      <c r="A595" s="213">
        <v>42485</v>
      </c>
      <c r="B595" s="115" t="s">
        <v>127</v>
      </c>
      <c r="C595" s="130"/>
      <c r="D595" s="60">
        <v>376270713997</v>
      </c>
      <c r="E595" s="113">
        <v>351215</v>
      </c>
      <c r="F595" s="121"/>
      <c r="G595" s="122">
        <f>30.42+67.58</f>
        <v>98</v>
      </c>
      <c r="H595" s="134" t="s">
        <v>807</v>
      </c>
      <c r="J595" s="124" t="s">
        <v>305</v>
      </c>
    </row>
    <row r="596" spans="1:34" x14ac:dyDescent="0.2">
      <c r="A596" s="213">
        <v>42488</v>
      </c>
      <c r="B596" s="115" t="s">
        <v>127</v>
      </c>
      <c r="C596" s="130"/>
      <c r="D596" s="60">
        <v>376270713997</v>
      </c>
      <c r="E596" s="113">
        <v>351215</v>
      </c>
      <c r="F596" s="121"/>
      <c r="G596" s="122">
        <f>45.36+95.64</f>
        <v>141</v>
      </c>
      <c r="H596" s="134" t="s">
        <v>808</v>
      </c>
      <c r="J596" s="124" t="s">
        <v>305</v>
      </c>
    </row>
    <row r="597" spans="1:34" x14ac:dyDescent="0.2">
      <c r="A597" s="213">
        <v>42485</v>
      </c>
      <c r="B597" s="115" t="s">
        <v>127</v>
      </c>
      <c r="C597" s="130"/>
      <c r="D597" s="60">
        <v>376270713997</v>
      </c>
      <c r="E597" s="113">
        <v>351215</v>
      </c>
      <c r="F597" s="121"/>
      <c r="G597" s="122">
        <f>24.2+69.8</f>
        <v>94</v>
      </c>
      <c r="H597" s="134" t="s">
        <v>809</v>
      </c>
      <c r="J597" s="124" t="s">
        <v>305</v>
      </c>
    </row>
    <row r="598" spans="1:34" x14ac:dyDescent="0.2">
      <c r="A598" s="214">
        <v>42437</v>
      </c>
      <c r="B598" s="20" t="s">
        <v>127</v>
      </c>
      <c r="C598" s="19"/>
      <c r="D598" s="56">
        <v>376271123998</v>
      </c>
      <c r="E598" s="29">
        <v>351306</v>
      </c>
      <c r="F598" s="120"/>
      <c r="G598" s="141">
        <f>16.21+133.69</f>
        <v>149.9</v>
      </c>
      <c r="H598" s="134" t="s">
        <v>810</v>
      </c>
      <c r="I598" s="19"/>
      <c r="J598" s="124" t="s">
        <v>305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x14ac:dyDescent="0.2">
      <c r="A599" s="214">
        <v>42437</v>
      </c>
      <c r="B599" s="20" t="s">
        <v>127</v>
      </c>
      <c r="C599" s="19"/>
      <c r="D599" s="56">
        <v>376271123998</v>
      </c>
      <c r="E599" s="29">
        <v>351306</v>
      </c>
      <c r="F599" s="120"/>
      <c r="G599" s="141">
        <f>42.8+192.15</f>
        <v>234.95</v>
      </c>
      <c r="H599" s="134" t="s">
        <v>811</v>
      </c>
      <c r="I599" s="19"/>
      <c r="J599" s="124" t="s">
        <v>305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x14ac:dyDescent="0.2">
      <c r="A600" s="213">
        <v>42453</v>
      </c>
      <c r="B600" s="20" t="s">
        <v>127</v>
      </c>
      <c r="C600" s="130"/>
      <c r="D600" s="60">
        <v>376271123998</v>
      </c>
      <c r="E600" s="113">
        <v>351306</v>
      </c>
      <c r="F600" s="121"/>
      <c r="G600" s="122">
        <f>42.8+192.15</f>
        <v>234.95</v>
      </c>
      <c r="H600" s="131" t="s">
        <v>812</v>
      </c>
      <c r="J600" s="142" t="s">
        <v>305</v>
      </c>
    </row>
    <row r="601" spans="1:34" x14ac:dyDescent="0.2">
      <c r="A601" s="213">
        <v>42452</v>
      </c>
      <c r="B601" s="20" t="s">
        <v>127</v>
      </c>
      <c r="C601" s="130"/>
      <c r="D601" s="60">
        <v>376271123998</v>
      </c>
      <c r="E601" s="113">
        <v>351306</v>
      </c>
      <c r="F601" s="121"/>
      <c r="G601" s="122">
        <f>56.08+242.92</f>
        <v>299</v>
      </c>
      <c r="H601" s="131" t="s">
        <v>813</v>
      </c>
      <c r="J601" s="142" t="s">
        <v>305</v>
      </c>
    </row>
    <row r="602" spans="1:34" x14ac:dyDescent="0.2">
      <c r="A602" s="213">
        <v>42457</v>
      </c>
      <c r="B602" s="20" t="s">
        <v>127</v>
      </c>
      <c r="C602" s="130"/>
      <c r="D602" s="60">
        <v>376271123998</v>
      </c>
      <c r="E602" s="113">
        <v>351306</v>
      </c>
      <c r="F602" s="121"/>
      <c r="G602" s="122">
        <v>578</v>
      </c>
      <c r="H602" s="134" t="s">
        <v>814</v>
      </c>
      <c r="J602" s="124" t="s">
        <v>305</v>
      </c>
    </row>
    <row r="603" spans="1:34" x14ac:dyDescent="0.2">
      <c r="A603" s="214">
        <v>42436</v>
      </c>
      <c r="B603" s="20" t="s">
        <v>127</v>
      </c>
      <c r="C603" s="19"/>
      <c r="D603" s="56">
        <v>376271725990</v>
      </c>
      <c r="E603" s="29">
        <v>351629</v>
      </c>
      <c r="F603" s="120"/>
      <c r="G603" s="141">
        <f>13.26+37.79</f>
        <v>51.05</v>
      </c>
      <c r="H603" s="134" t="s">
        <v>815</v>
      </c>
      <c r="I603" s="19"/>
      <c r="J603" s="124" t="s">
        <v>485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x14ac:dyDescent="0.2">
      <c r="A604" s="214">
        <v>42436</v>
      </c>
      <c r="B604" s="20" t="s">
        <v>127</v>
      </c>
      <c r="C604" s="19"/>
      <c r="D604" s="56">
        <v>376271725990</v>
      </c>
      <c r="E604" s="29">
        <v>351629</v>
      </c>
      <c r="F604" s="120"/>
      <c r="G604" s="141">
        <f>6.3+15.75</f>
        <v>22.05</v>
      </c>
      <c r="H604" s="134" t="s">
        <v>816</v>
      </c>
      <c r="I604" s="19"/>
      <c r="J604" s="124" t="s">
        <v>485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x14ac:dyDescent="0.2">
      <c r="A605" s="213">
        <v>42443</v>
      </c>
      <c r="B605" s="20" t="s">
        <v>127</v>
      </c>
      <c r="C605" s="130"/>
      <c r="D605" s="60">
        <v>376271725990</v>
      </c>
      <c r="E605" s="113">
        <v>351629</v>
      </c>
      <c r="F605" s="121"/>
      <c r="G605" s="122">
        <f>25.81+97.34</f>
        <v>123.15</v>
      </c>
      <c r="H605" s="134" t="s">
        <v>817</v>
      </c>
      <c r="J605" s="124" t="s">
        <v>485</v>
      </c>
    </row>
    <row r="606" spans="1:34" x14ac:dyDescent="0.2">
      <c r="A606" s="213">
        <v>42444</v>
      </c>
      <c r="B606" s="20" t="s">
        <v>127</v>
      </c>
      <c r="C606" s="130"/>
      <c r="D606" s="60">
        <v>376271725990</v>
      </c>
      <c r="E606" s="113">
        <v>351629</v>
      </c>
      <c r="F606" s="121"/>
      <c r="G606" s="122">
        <f>42.78+12.21</f>
        <v>54.99</v>
      </c>
      <c r="H606" s="134" t="s">
        <v>818</v>
      </c>
      <c r="J606" s="124" t="s">
        <v>485</v>
      </c>
    </row>
    <row r="607" spans="1:34" x14ac:dyDescent="0.2">
      <c r="A607" s="213">
        <v>42446</v>
      </c>
      <c r="B607" s="20" t="s">
        <v>127</v>
      </c>
      <c r="C607" s="130"/>
      <c r="D607" s="60">
        <v>376271725990</v>
      </c>
      <c r="E607" s="113">
        <v>351629</v>
      </c>
      <c r="F607" s="121"/>
      <c r="G607" s="122">
        <f>44.39+132.05</f>
        <v>176.44</v>
      </c>
      <c r="H607" s="134" t="s">
        <v>819</v>
      </c>
      <c r="J607" s="124" t="s">
        <v>485</v>
      </c>
    </row>
    <row r="608" spans="1:34" x14ac:dyDescent="0.2">
      <c r="A608" s="213">
        <v>42454</v>
      </c>
      <c r="B608" s="20" t="s">
        <v>127</v>
      </c>
      <c r="C608" s="130"/>
      <c r="D608" s="60">
        <v>376271725990</v>
      </c>
      <c r="E608" s="113">
        <v>351629</v>
      </c>
      <c r="F608" s="121"/>
      <c r="G608" s="122">
        <f>21.22+10.55</f>
        <v>31.77</v>
      </c>
      <c r="H608" s="131" t="s">
        <v>820</v>
      </c>
      <c r="J608" s="142" t="s">
        <v>485</v>
      </c>
    </row>
    <row r="609" spans="1:10" x14ac:dyDescent="0.2">
      <c r="A609" s="213">
        <v>42453</v>
      </c>
      <c r="B609" s="20" t="s">
        <v>127</v>
      </c>
      <c r="C609" s="130"/>
      <c r="D609" s="60">
        <v>376271725990</v>
      </c>
      <c r="E609" s="113">
        <v>351629</v>
      </c>
      <c r="F609" s="121"/>
      <c r="G609" s="122">
        <f>13.81+25.73</f>
        <v>39.54</v>
      </c>
      <c r="H609" s="131" t="s">
        <v>821</v>
      </c>
      <c r="J609" s="142" t="s">
        <v>485</v>
      </c>
    </row>
    <row r="610" spans="1:10" x14ac:dyDescent="0.2">
      <c r="A610" s="213">
        <v>42453</v>
      </c>
      <c r="B610" s="20" t="s">
        <v>127</v>
      </c>
      <c r="C610" s="130"/>
      <c r="D610" s="60">
        <v>376271725990</v>
      </c>
      <c r="E610" s="113">
        <v>351629</v>
      </c>
      <c r="F610" s="121"/>
      <c r="G610" s="122">
        <f>73.51+223.84</f>
        <v>297.35000000000002</v>
      </c>
      <c r="H610" s="131" t="s">
        <v>822</v>
      </c>
      <c r="J610" s="142" t="s">
        <v>485</v>
      </c>
    </row>
    <row r="611" spans="1:10" x14ac:dyDescent="0.2">
      <c r="A611" s="213">
        <v>42452</v>
      </c>
      <c r="B611" s="20" t="s">
        <v>127</v>
      </c>
      <c r="C611" s="130"/>
      <c r="D611" s="60">
        <v>376271725990</v>
      </c>
      <c r="E611" s="113">
        <v>351629</v>
      </c>
      <c r="F611" s="121"/>
      <c r="G611" s="122">
        <f>23.85+45.46</f>
        <v>69.31</v>
      </c>
      <c r="H611" s="131" t="s">
        <v>823</v>
      </c>
      <c r="J611" s="142" t="s">
        <v>485</v>
      </c>
    </row>
    <row r="612" spans="1:10" x14ac:dyDescent="0.2">
      <c r="A612" s="213">
        <v>42451</v>
      </c>
      <c r="B612" s="20" t="s">
        <v>127</v>
      </c>
      <c r="C612" s="130"/>
      <c r="D612" s="60">
        <v>376271725990</v>
      </c>
      <c r="E612" s="113">
        <v>351629</v>
      </c>
      <c r="F612" s="121"/>
      <c r="G612" s="122">
        <f>126.78+175.61</f>
        <v>302.39</v>
      </c>
      <c r="H612" s="131" t="s">
        <v>824</v>
      </c>
      <c r="J612" s="142" t="s">
        <v>485</v>
      </c>
    </row>
    <row r="613" spans="1:10" x14ac:dyDescent="0.2">
      <c r="A613" s="213">
        <v>42450</v>
      </c>
      <c r="B613" s="20" t="s">
        <v>127</v>
      </c>
      <c r="C613" s="130"/>
      <c r="D613" s="60">
        <v>376271725990</v>
      </c>
      <c r="E613" s="113">
        <v>351629</v>
      </c>
      <c r="F613" s="121"/>
      <c r="G613" s="122">
        <f>42.92+84.54</f>
        <v>127.46000000000001</v>
      </c>
      <c r="H613" s="131" t="s">
        <v>825</v>
      </c>
      <c r="J613" s="142" t="s">
        <v>485</v>
      </c>
    </row>
    <row r="614" spans="1:10" x14ac:dyDescent="0.2">
      <c r="A614" s="213">
        <v>42450</v>
      </c>
      <c r="B614" s="20" t="s">
        <v>127</v>
      </c>
      <c r="C614" s="130"/>
      <c r="D614" s="60">
        <v>376271725990</v>
      </c>
      <c r="E614" s="113">
        <v>351629</v>
      </c>
      <c r="F614" s="121"/>
      <c r="G614" s="122">
        <f>6.34+26.24</f>
        <v>32.58</v>
      </c>
      <c r="H614" s="131" t="s">
        <v>826</v>
      </c>
      <c r="J614" s="142" t="s">
        <v>485</v>
      </c>
    </row>
    <row r="615" spans="1:10" x14ac:dyDescent="0.2">
      <c r="A615" s="213">
        <v>42450</v>
      </c>
      <c r="B615" s="20" t="s">
        <v>127</v>
      </c>
      <c r="C615" s="130"/>
      <c r="D615" s="60">
        <v>376271725990</v>
      </c>
      <c r="E615" s="113">
        <v>351629</v>
      </c>
      <c r="F615" s="121"/>
      <c r="G615" s="122">
        <f>3.65+15.82</f>
        <v>19.47</v>
      </c>
      <c r="H615" s="131" t="s">
        <v>827</v>
      </c>
      <c r="J615" s="142" t="s">
        <v>485</v>
      </c>
    </row>
    <row r="616" spans="1:10" x14ac:dyDescent="0.2">
      <c r="A616" s="213">
        <v>42457</v>
      </c>
      <c r="B616" s="20" t="s">
        <v>127</v>
      </c>
      <c r="C616" s="130"/>
      <c r="D616" s="60">
        <v>376271725990</v>
      </c>
      <c r="E616" s="113">
        <v>351629</v>
      </c>
      <c r="F616" s="121"/>
      <c r="G616" s="122">
        <f>41.37+203.51</f>
        <v>244.88</v>
      </c>
      <c r="H616" s="134" t="s">
        <v>828</v>
      </c>
      <c r="J616" s="124" t="s">
        <v>485</v>
      </c>
    </row>
    <row r="617" spans="1:10" x14ac:dyDescent="0.2">
      <c r="A617" s="213">
        <v>42457</v>
      </c>
      <c r="B617" s="20" t="s">
        <v>127</v>
      </c>
      <c r="C617" s="130"/>
      <c r="D617" s="60">
        <v>376271725990</v>
      </c>
      <c r="E617" s="113">
        <v>351629</v>
      </c>
      <c r="F617" s="121"/>
      <c r="G617" s="122">
        <f>49.08+100.61</f>
        <v>149.69</v>
      </c>
      <c r="H617" s="134" t="s">
        <v>829</v>
      </c>
      <c r="J617" s="124" t="s">
        <v>485</v>
      </c>
    </row>
    <row r="618" spans="1:10" x14ac:dyDescent="0.2">
      <c r="A618" s="213">
        <v>42458</v>
      </c>
      <c r="B618" s="20" t="s">
        <v>127</v>
      </c>
      <c r="C618" s="130"/>
      <c r="D618" s="60">
        <v>376271725990</v>
      </c>
      <c r="E618" s="113">
        <v>351629</v>
      </c>
      <c r="F618" s="121"/>
      <c r="G618" s="122">
        <f>4.26+13.34</f>
        <v>17.600000000000001</v>
      </c>
      <c r="H618" s="134" t="s">
        <v>830</v>
      </c>
      <c r="J618" s="124" t="s">
        <v>485</v>
      </c>
    </row>
    <row r="619" spans="1:10" x14ac:dyDescent="0.2">
      <c r="A619" s="213">
        <v>42458</v>
      </c>
      <c r="B619" s="20" t="s">
        <v>127</v>
      </c>
      <c r="C619" s="130"/>
      <c r="D619" s="60">
        <v>376271725990</v>
      </c>
      <c r="E619" s="113">
        <v>351629</v>
      </c>
      <c r="F619" s="121"/>
      <c r="G619" s="122">
        <f>30.86+44.33</f>
        <v>75.19</v>
      </c>
      <c r="H619" s="134" t="s">
        <v>831</v>
      </c>
      <c r="J619" s="124" t="s">
        <v>485</v>
      </c>
    </row>
    <row r="620" spans="1:10" x14ac:dyDescent="0.2">
      <c r="A620" s="213">
        <v>42458</v>
      </c>
      <c r="B620" s="20" t="s">
        <v>127</v>
      </c>
      <c r="C620" s="130"/>
      <c r="D620" s="60">
        <v>376271725990</v>
      </c>
      <c r="E620" s="113">
        <v>351629</v>
      </c>
      <c r="F620" s="121"/>
      <c r="G620" s="122">
        <f>8.87+55.28</f>
        <v>64.150000000000006</v>
      </c>
      <c r="H620" s="134" t="s">
        <v>832</v>
      </c>
      <c r="J620" s="124" t="s">
        <v>485</v>
      </c>
    </row>
    <row r="621" spans="1:10" x14ac:dyDescent="0.2">
      <c r="A621" s="213">
        <v>42461</v>
      </c>
      <c r="B621" s="20" t="s">
        <v>127</v>
      </c>
      <c r="C621" s="130"/>
      <c r="D621" s="60">
        <v>376271725990</v>
      </c>
      <c r="E621" s="113">
        <v>351629</v>
      </c>
      <c r="F621" s="121"/>
      <c r="G621" s="122">
        <f>9.98+48.73</f>
        <v>58.709999999999994</v>
      </c>
      <c r="H621" s="134" t="s">
        <v>833</v>
      </c>
      <c r="J621" s="124" t="s">
        <v>485</v>
      </c>
    </row>
    <row r="622" spans="1:10" x14ac:dyDescent="0.2">
      <c r="A622" s="213">
        <v>42461</v>
      </c>
      <c r="B622" s="20" t="s">
        <v>127</v>
      </c>
      <c r="C622" s="130"/>
      <c r="D622" s="60">
        <v>376271725990</v>
      </c>
      <c r="E622" s="113">
        <v>351629</v>
      </c>
      <c r="F622" s="121"/>
      <c r="G622" s="122">
        <f>17.43+67.05</f>
        <v>84.47999999999999</v>
      </c>
      <c r="H622" s="134" t="s">
        <v>834</v>
      </c>
      <c r="J622" s="124" t="s">
        <v>485</v>
      </c>
    </row>
    <row r="623" spans="1:10" x14ac:dyDescent="0.2">
      <c r="A623" s="213">
        <v>42464</v>
      </c>
      <c r="B623" s="115" t="s">
        <v>127</v>
      </c>
      <c r="D623" s="121" t="s">
        <v>835</v>
      </c>
      <c r="E623" s="113">
        <v>351629</v>
      </c>
      <c r="F623" s="121"/>
      <c r="G623" s="122">
        <f>21.57+8.6</f>
        <v>30.17</v>
      </c>
      <c r="H623" s="117">
        <v>1871306</v>
      </c>
      <c r="J623" s="142" t="s">
        <v>485</v>
      </c>
    </row>
    <row r="624" spans="1:10" x14ac:dyDescent="0.2">
      <c r="A624" s="213">
        <v>42464</v>
      </c>
      <c r="B624" s="115" t="s">
        <v>127</v>
      </c>
      <c r="D624" s="121" t="s">
        <v>835</v>
      </c>
      <c r="E624" s="113">
        <v>351629</v>
      </c>
      <c r="F624" s="121"/>
      <c r="G624" s="122">
        <f>19.25+118.67</f>
        <v>137.92000000000002</v>
      </c>
      <c r="H624" s="117">
        <v>1871982</v>
      </c>
      <c r="J624" s="142" t="s">
        <v>485</v>
      </c>
    </row>
    <row r="625" spans="1:10" x14ac:dyDescent="0.2">
      <c r="A625" s="213">
        <v>42464</v>
      </c>
      <c r="B625" s="115" t="s">
        <v>127</v>
      </c>
      <c r="D625" s="121" t="s">
        <v>835</v>
      </c>
      <c r="E625" s="113">
        <v>351629</v>
      </c>
      <c r="F625" s="121"/>
      <c r="G625" s="122">
        <f>7.76+8.24</f>
        <v>16</v>
      </c>
      <c r="H625" s="117">
        <v>1867532</v>
      </c>
      <c r="J625" s="142" t="s">
        <v>485</v>
      </c>
    </row>
    <row r="626" spans="1:10" x14ac:dyDescent="0.2">
      <c r="A626" s="213">
        <v>42465</v>
      </c>
      <c r="B626" s="115" t="s">
        <v>127</v>
      </c>
      <c r="D626" s="121" t="s">
        <v>835</v>
      </c>
      <c r="E626" s="113">
        <v>351629</v>
      </c>
      <c r="F626" s="121"/>
      <c r="G626" s="122">
        <f>51.49+168.02</f>
        <v>219.51000000000002</v>
      </c>
      <c r="H626" s="117">
        <v>1874010</v>
      </c>
      <c r="J626" s="142" t="s">
        <v>485</v>
      </c>
    </row>
    <row r="627" spans="1:10" x14ac:dyDescent="0.2">
      <c r="A627" s="213">
        <v>42466</v>
      </c>
      <c r="B627" s="115" t="s">
        <v>127</v>
      </c>
      <c r="D627" s="121" t="s">
        <v>835</v>
      </c>
      <c r="E627" s="113">
        <v>351629</v>
      </c>
      <c r="F627" s="121"/>
      <c r="G627" s="122">
        <f>17.58+35.28</f>
        <v>52.86</v>
      </c>
      <c r="H627" s="117">
        <v>1877846</v>
      </c>
      <c r="J627" s="142" t="s">
        <v>485</v>
      </c>
    </row>
    <row r="628" spans="1:10" x14ac:dyDescent="0.2">
      <c r="A628" s="213">
        <v>42466</v>
      </c>
      <c r="B628" s="115" t="s">
        <v>127</v>
      </c>
      <c r="D628" s="121" t="s">
        <v>835</v>
      </c>
      <c r="E628" s="113">
        <v>351629</v>
      </c>
      <c r="F628" s="121"/>
      <c r="G628" s="122">
        <f>7.94+8.86</f>
        <v>16.8</v>
      </c>
      <c r="H628" s="117">
        <v>1879952</v>
      </c>
      <c r="J628" s="142" t="s">
        <v>485</v>
      </c>
    </row>
    <row r="629" spans="1:10" x14ac:dyDescent="0.2">
      <c r="A629" s="213">
        <v>42467</v>
      </c>
      <c r="B629" s="115" t="s">
        <v>127</v>
      </c>
      <c r="D629" s="121" t="s">
        <v>835</v>
      </c>
      <c r="E629" s="113">
        <v>351629</v>
      </c>
      <c r="F629" s="121"/>
      <c r="G629" s="122">
        <f>34.62+77.68</f>
        <v>112.30000000000001</v>
      </c>
      <c r="H629" s="117">
        <v>1880734</v>
      </c>
      <c r="J629" s="142" t="s">
        <v>485</v>
      </c>
    </row>
    <row r="630" spans="1:10" x14ac:dyDescent="0.2">
      <c r="A630" s="213">
        <v>42467</v>
      </c>
      <c r="B630" s="115" t="s">
        <v>127</v>
      </c>
      <c r="D630" s="121" t="s">
        <v>835</v>
      </c>
      <c r="E630" s="113">
        <v>351629</v>
      </c>
      <c r="F630" s="121"/>
      <c r="G630" s="122">
        <f>11.06+14.03</f>
        <v>25.09</v>
      </c>
      <c r="H630" s="117">
        <v>1881014</v>
      </c>
      <c r="J630" s="142" t="s">
        <v>485</v>
      </c>
    </row>
    <row r="631" spans="1:10" x14ac:dyDescent="0.2">
      <c r="A631" s="213">
        <v>42468</v>
      </c>
      <c r="B631" s="115" t="s">
        <v>127</v>
      </c>
      <c r="D631" s="121" t="s">
        <v>835</v>
      </c>
      <c r="E631" s="113">
        <v>351629</v>
      </c>
      <c r="F631" s="121"/>
      <c r="G631" s="122">
        <f>28.02+130.47</f>
        <v>158.49</v>
      </c>
      <c r="H631" s="117">
        <v>1883105</v>
      </c>
      <c r="J631" s="142" t="s">
        <v>485</v>
      </c>
    </row>
    <row r="632" spans="1:10" x14ac:dyDescent="0.2">
      <c r="A632" s="213">
        <v>42468</v>
      </c>
      <c r="B632" s="115" t="s">
        <v>127</v>
      </c>
      <c r="D632" s="121" t="s">
        <v>835</v>
      </c>
      <c r="E632" s="113">
        <v>351629</v>
      </c>
      <c r="F632" s="121"/>
      <c r="G632" s="122">
        <f>32.06+88.8</f>
        <v>120.86</v>
      </c>
      <c r="H632" s="117">
        <v>1886051</v>
      </c>
      <c r="J632" s="142" t="s">
        <v>485</v>
      </c>
    </row>
    <row r="633" spans="1:10" x14ac:dyDescent="0.2">
      <c r="A633" s="213">
        <v>42475</v>
      </c>
      <c r="B633" s="115" t="s">
        <v>127</v>
      </c>
      <c r="C633" s="130"/>
      <c r="D633" s="60">
        <v>376271725990</v>
      </c>
      <c r="E633" s="113">
        <v>351629</v>
      </c>
      <c r="F633" s="121"/>
      <c r="G633" s="122">
        <f>8.38+37.05</f>
        <v>45.43</v>
      </c>
      <c r="H633" s="131" t="s">
        <v>836</v>
      </c>
      <c r="J633" s="142" t="s">
        <v>485</v>
      </c>
    </row>
    <row r="634" spans="1:10" x14ac:dyDescent="0.2">
      <c r="A634" s="213">
        <v>42475</v>
      </c>
      <c r="B634" s="115" t="s">
        <v>127</v>
      </c>
      <c r="C634" s="130"/>
      <c r="D634" s="60">
        <v>376271725990</v>
      </c>
      <c r="E634" s="113">
        <v>351629</v>
      </c>
      <c r="F634" s="121"/>
      <c r="G634" s="122">
        <f>16.09+79.09</f>
        <v>95.18</v>
      </c>
      <c r="H634" s="131" t="s">
        <v>837</v>
      </c>
      <c r="J634" s="142" t="s">
        <v>485</v>
      </c>
    </row>
    <row r="635" spans="1:10" x14ac:dyDescent="0.2">
      <c r="A635" s="213">
        <v>42473</v>
      </c>
      <c r="B635" s="115" t="s">
        <v>127</v>
      </c>
      <c r="C635" s="130"/>
      <c r="D635" s="60">
        <v>376271725990</v>
      </c>
      <c r="E635" s="113">
        <v>351629</v>
      </c>
      <c r="F635" s="121"/>
      <c r="G635" s="122">
        <f>6.29+19.92</f>
        <v>26.21</v>
      </c>
      <c r="H635" s="131" t="s">
        <v>838</v>
      </c>
      <c r="J635" s="142" t="s">
        <v>485</v>
      </c>
    </row>
    <row r="636" spans="1:10" x14ac:dyDescent="0.2">
      <c r="A636" s="213">
        <v>42473</v>
      </c>
      <c r="B636" s="115" t="s">
        <v>127</v>
      </c>
      <c r="C636" s="130"/>
      <c r="D636" s="60">
        <v>376271725990</v>
      </c>
      <c r="E636" s="113">
        <v>351629</v>
      </c>
      <c r="F636" s="121"/>
      <c r="G636" s="122">
        <v>-10</v>
      </c>
      <c r="H636" s="131" t="s">
        <v>839</v>
      </c>
      <c r="J636" s="142" t="s">
        <v>485</v>
      </c>
    </row>
    <row r="637" spans="1:10" x14ac:dyDescent="0.2">
      <c r="A637" s="213">
        <v>42473</v>
      </c>
      <c r="B637" s="115" t="s">
        <v>127</v>
      </c>
      <c r="C637" s="130"/>
      <c r="D637" s="60">
        <v>376271725990</v>
      </c>
      <c r="E637" s="113">
        <v>351629</v>
      </c>
      <c r="F637" s="121"/>
      <c r="G637" s="122">
        <f>49.28+127.17</f>
        <v>176.45</v>
      </c>
      <c r="H637" s="131" t="s">
        <v>839</v>
      </c>
      <c r="J637" s="142" t="s">
        <v>485</v>
      </c>
    </row>
    <row r="638" spans="1:10" x14ac:dyDescent="0.2">
      <c r="A638" s="213">
        <v>42472</v>
      </c>
      <c r="B638" s="115" t="s">
        <v>127</v>
      </c>
      <c r="C638" s="130"/>
      <c r="D638" s="60">
        <v>376271725990</v>
      </c>
      <c r="E638" s="113">
        <v>351629</v>
      </c>
      <c r="F638" s="121"/>
      <c r="G638" s="122">
        <f>23.65+48.38</f>
        <v>72.03</v>
      </c>
      <c r="H638" s="131" t="s">
        <v>840</v>
      </c>
      <c r="J638" s="142" t="s">
        <v>485</v>
      </c>
    </row>
    <row r="639" spans="1:10" x14ac:dyDescent="0.2">
      <c r="A639" s="213">
        <v>42471</v>
      </c>
      <c r="B639" s="115" t="s">
        <v>127</v>
      </c>
      <c r="C639" s="130"/>
      <c r="D639" s="60">
        <v>376271725990</v>
      </c>
      <c r="E639" s="113">
        <v>351629</v>
      </c>
      <c r="F639" s="121"/>
      <c r="G639" s="122">
        <f>50.37+196.49</f>
        <v>246.86</v>
      </c>
      <c r="H639" s="131" t="s">
        <v>841</v>
      </c>
      <c r="J639" s="142" t="s">
        <v>485</v>
      </c>
    </row>
    <row r="640" spans="1:10" x14ac:dyDescent="0.2">
      <c r="A640" s="213">
        <v>42471</v>
      </c>
      <c r="B640" s="115" t="s">
        <v>127</v>
      </c>
      <c r="C640" s="130"/>
      <c r="D640" s="60">
        <v>376271725990</v>
      </c>
      <c r="E640" s="113">
        <v>351629</v>
      </c>
      <c r="F640" s="121"/>
      <c r="G640" s="122">
        <f>17.19+50.53</f>
        <v>67.72</v>
      </c>
      <c r="H640" s="131" t="s">
        <v>842</v>
      </c>
      <c r="J640" s="142" t="s">
        <v>485</v>
      </c>
    </row>
    <row r="641" spans="1:34" x14ac:dyDescent="0.2">
      <c r="A641" s="213">
        <v>42471</v>
      </c>
      <c r="B641" s="115" t="s">
        <v>127</v>
      </c>
      <c r="C641" s="130"/>
      <c r="D641" s="60">
        <v>376271725990</v>
      </c>
      <c r="E641" s="113">
        <v>351629</v>
      </c>
      <c r="F641" s="121"/>
      <c r="G641" s="122">
        <f>0.97+9.84</f>
        <v>10.81</v>
      </c>
      <c r="H641" s="131" t="s">
        <v>843</v>
      </c>
      <c r="J641" s="142" t="s">
        <v>485</v>
      </c>
    </row>
    <row r="642" spans="1:34" x14ac:dyDescent="0.2">
      <c r="A642" s="213">
        <v>42480</v>
      </c>
      <c r="B642" s="115" t="s">
        <v>127</v>
      </c>
      <c r="C642" s="130"/>
      <c r="D642" s="60">
        <v>376271725990</v>
      </c>
      <c r="E642" s="113">
        <v>351629</v>
      </c>
      <c r="F642" s="121"/>
      <c r="G642" s="122">
        <f>3.65+15.82</f>
        <v>19.47</v>
      </c>
      <c r="H642" s="131" t="s">
        <v>844</v>
      </c>
      <c r="J642" s="142" t="s">
        <v>485</v>
      </c>
    </row>
    <row r="643" spans="1:34" x14ac:dyDescent="0.2">
      <c r="A643" s="213">
        <v>42481</v>
      </c>
      <c r="B643" s="115" t="s">
        <v>127</v>
      </c>
      <c r="C643" s="130"/>
      <c r="D643" s="60">
        <v>376271725990</v>
      </c>
      <c r="E643" s="113">
        <v>351629</v>
      </c>
      <c r="F643" s="121"/>
      <c r="G643" s="122">
        <f>16.12+84.23</f>
        <v>100.35000000000001</v>
      </c>
      <c r="H643" s="131" t="s">
        <v>845</v>
      </c>
      <c r="J643" s="142" t="s">
        <v>485</v>
      </c>
    </row>
    <row r="644" spans="1:34" x14ac:dyDescent="0.2">
      <c r="A644" s="213">
        <v>42482</v>
      </c>
      <c r="B644" s="115" t="s">
        <v>127</v>
      </c>
      <c r="C644" s="130"/>
      <c r="D644" s="60">
        <v>376271725990</v>
      </c>
      <c r="E644" s="113">
        <v>351629</v>
      </c>
      <c r="F644" s="121"/>
      <c r="G644" s="122">
        <f>6.01+15.87</f>
        <v>21.88</v>
      </c>
      <c r="H644" s="131" t="s">
        <v>846</v>
      </c>
      <c r="J644" s="142" t="s">
        <v>485</v>
      </c>
    </row>
    <row r="645" spans="1:34" x14ac:dyDescent="0.2">
      <c r="A645" s="213">
        <v>42482</v>
      </c>
      <c r="B645" s="115" t="s">
        <v>127</v>
      </c>
      <c r="C645" s="130"/>
      <c r="D645" s="60">
        <v>376271725990</v>
      </c>
      <c r="E645" s="113">
        <v>351629</v>
      </c>
      <c r="F645" s="121"/>
      <c r="G645" s="122">
        <f>8.11+13.24</f>
        <v>21.35</v>
      </c>
      <c r="H645" s="131" t="s">
        <v>847</v>
      </c>
      <c r="J645" s="142" t="s">
        <v>485</v>
      </c>
    </row>
    <row r="646" spans="1:34" x14ac:dyDescent="0.2">
      <c r="A646" s="213">
        <v>42482</v>
      </c>
      <c r="B646" s="115" t="s">
        <v>127</v>
      </c>
      <c r="C646" s="130"/>
      <c r="D646" s="60">
        <v>376271725990</v>
      </c>
      <c r="E646" s="113">
        <v>351629</v>
      </c>
      <c r="F646" s="121"/>
      <c r="G646" s="122">
        <f>24.76+42.6</f>
        <v>67.36</v>
      </c>
      <c r="H646" s="131" t="s">
        <v>848</v>
      </c>
      <c r="J646" s="142" t="s">
        <v>485</v>
      </c>
    </row>
    <row r="647" spans="1:34" x14ac:dyDescent="0.2">
      <c r="A647" s="213">
        <v>42487</v>
      </c>
      <c r="B647" s="115" t="s">
        <v>127</v>
      </c>
      <c r="C647" s="130"/>
      <c r="D647" s="60">
        <v>376271725990</v>
      </c>
      <c r="E647" s="113">
        <v>351629</v>
      </c>
      <c r="F647" s="121"/>
      <c r="G647" s="122">
        <f>43.13+17.21</f>
        <v>60.34</v>
      </c>
      <c r="H647" s="131" t="s">
        <v>849</v>
      </c>
      <c r="J647" s="143" t="s">
        <v>850</v>
      </c>
    </row>
    <row r="648" spans="1:34" x14ac:dyDescent="0.2">
      <c r="A648" s="213">
        <v>42486</v>
      </c>
      <c r="B648" s="115" t="s">
        <v>127</v>
      </c>
      <c r="C648" s="130"/>
      <c r="D648" s="60">
        <v>376271725990</v>
      </c>
      <c r="E648" s="113">
        <v>351629</v>
      </c>
      <c r="F648" s="121"/>
      <c r="G648" s="122">
        <f>4.79+10.3</f>
        <v>15.09</v>
      </c>
      <c r="H648" s="131" t="s">
        <v>851</v>
      </c>
      <c r="J648" s="143" t="s">
        <v>850</v>
      </c>
    </row>
    <row r="649" spans="1:34" x14ac:dyDescent="0.2">
      <c r="A649" s="213">
        <v>42486</v>
      </c>
      <c r="B649" s="115" t="s">
        <v>127</v>
      </c>
      <c r="C649" s="130"/>
      <c r="D649" s="60">
        <v>376271725990</v>
      </c>
      <c r="E649" s="113">
        <v>351629</v>
      </c>
      <c r="F649" s="121"/>
      <c r="G649" s="122">
        <f>43.13+17.21</f>
        <v>60.34</v>
      </c>
      <c r="H649" s="131" t="s">
        <v>852</v>
      </c>
      <c r="J649" s="143" t="s">
        <v>850</v>
      </c>
    </row>
    <row r="650" spans="1:34" x14ac:dyDescent="0.2">
      <c r="A650" s="213">
        <v>42485</v>
      </c>
      <c r="B650" s="115" t="s">
        <v>127</v>
      </c>
      <c r="C650" s="130"/>
      <c r="D650" s="60">
        <v>376271725990</v>
      </c>
      <c r="E650" s="113">
        <v>351629</v>
      </c>
      <c r="F650" s="121"/>
      <c r="G650" s="122">
        <f>5.33+12.86</f>
        <v>18.189999999999998</v>
      </c>
      <c r="H650" s="131" t="s">
        <v>853</v>
      </c>
      <c r="J650" s="143" t="s">
        <v>850</v>
      </c>
    </row>
    <row r="651" spans="1:34" x14ac:dyDescent="0.2">
      <c r="A651" s="213">
        <v>42485</v>
      </c>
      <c r="B651" s="115" t="s">
        <v>127</v>
      </c>
      <c r="C651" s="130"/>
      <c r="D651" s="60">
        <v>376271725990</v>
      </c>
      <c r="E651" s="113">
        <v>351629</v>
      </c>
      <c r="F651" s="121"/>
      <c r="G651" s="122">
        <f>42.24+46.01</f>
        <v>88.25</v>
      </c>
      <c r="H651" s="131" t="s">
        <v>854</v>
      </c>
      <c r="J651" s="143" t="s">
        <v>850</v>
      </c>
    </row>
    <row r="652" spans="1:34" x14ac:dyDescent="0.2">
      <c r="A652" s="213">
        <v>42461</v>
      </c>
      <c r="B652" s="20" t="s">
        <v>127</v>
      </c>
      <c r="C652" s="130"/>
      <c r="D652" s="60">
        <v>376271803995</v>
      </c>
      <c r="E652" s="113">
        <v>351696</v>
      </c>
      <c r="F652" s="121"/>
      <c r="G652" s="122">
        <v>118.97</v>
      </c>
      <c r="H652" s="134" t="s">
        <v>855</v>
      </c>
      <c r="J652" s="124" t="s">
        <v>435</v>
      </c>
    </row>
    <row r="653" spans="1:34" x14ac:dyDescent="0.2">
      <c r="A653" s="213">
        <v>42451</v>
      </c>
      <c r="B653" s="20" t="s">
        <v>127</v>
      </c>
      <c r="C653" s="130"/>
      <c r="D653" s="60">
        <v>376272134994</v>
      </c>
      <c r="E653" s="113">
        <v>351930</v>
      </c>
      <c r="F653" s="121"/>
      <c r="G653" s="122">
        <v>5</v>
      </c>
      <c r="H653" s="131" t="s">
        <v>856</v>
      </c>
      <c r="J653" s="142" t="s">
        <v>857</v>
      </c>
    </row>
    <row r="654" spans="1:34" x14ac:dyDescent="0.2">
      <c r="A654" s="214">
        <v>42439</v>
      </c>
      <c r="B654" s="20" t="s">
        <v>127</v>
      </c>
      <c r="C654" s="19"/>
      <c r="D654" s="56">
        <v>376208865992</v>
      </c>
      <c r="E654" s="29">
        <v>1790667</v>
      </c>
      <c r="F654" s="120"/>
      <c r="G654" s="141">
        <v>75.900000000000006</v>
      </c>
      <c r="H654" s="134" t="s">
        <v>858</v>
      </c>
      <c r="I654" s="19"/>
      <c r="J654" s="124" t="s">
        <v>485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s="203" customFormat="1" x14ac:dyDescent="0.2">
      <c r="A655" s="215">
        <v>42440</v>
      </c>
      <c r="B655" s="216" t="s">
        <v>127</v>
      </c>
      <c r="C655" s="203" t="s">
        <v>151</v>
      </c>
      <c r="D655" s="59">
        <v>376271803995</v>
      </c>
      <c r="E655" s="68">
        <v>1810660</v>
      </c>
      <c r="F655" s="217"/>
      <c r="G655" s="218">
        <v>52.95</v>
      </c>
      <c r="H655" s="223" t="s">
        <v>859</v>
      </c>
      <c r="J655" s="219" t="s">
        <v>454</v>
      </c>
    </row>
    <row r="656" spans="1:34" x14ac:dyDescent="0.2">
      <c r="A656" s="103" t="s">
        <v>1940</v>
      </c>
      <c r="B656" s="115" t="s">
        <v>0</v>
      </c>
      <c r="C656" s="130"/>
      <c r="D656" s="60">
        <v>376270143997</v>
      </c>
      <c r="E656" s="113">
        <v>351083</v>
      </c>
      <c r="F656" s="120" t="s">
        <v>860</v>
      </c>
      <c r="G656" s="122">
        <v>245.76</v>
      </c>
      <c r="H656" s="131"/>
      <c r="J656" s="123" t="s">
        <v>44</v>
      </c>
      <c r="K656" s="146" t="s">
        <v>479</v>
      </c>
    </row>
    <row r="657" spans="1:13" s="203" customFormat="1" x14ac:dyDescent="0.2">
      <c r="A657" s="221" t="s">
        <v>1940</v>
      </c>
      <c r="B657" s="216" t="s">
        <v>0</v>
      </c>
      <c r="C657" s="203" t="s">
        <v>476</v>
      </c>
      <c r="D657" s="59">
        <v>376270400991</v>
      </c>
      <c r="E657" s="68">
        <v>351136</v>
      </c>
      <c r="F657" s="217" t="s">
        <v>861</v>
      </c>
      <c r="G657" s="218">
        <v>178.99</v>
      </c>
      <c r="H657" s="223"/>
      <c r="J657" s="220" t="s">
        <v>246</v>
      </c>
    </row>
    <row r="658" spans="1:13" s="203" customFormat="1" x14ac:dyDescent="0.2">
      <c r="A658" s="221" t="s">
        <v>1940</v>
      </c>
      <c r="B658" s="216" t="s">
        <v>0</v>
      </c>
      <c r="C658" s="203" t="s">
        <v>476</v>
      </c>
      <c r="D658" s="59">
        <v>376215704994</v>
      </c>
      <c r="E658" s="68">
        <v>212245</v>
      </c>
      <c r="F658" s="217" t="s">
        <v>862</v>
      </c>
      <c r="G658" s="218">
        <v>99.95</v>
      </c>
      <c r="H658" s="223"/>
      <c r="J658" s="220" t="s">
        <v>44</v>
      </c>
    </row>
    <row r="659" spans="1:13" s="203" customFormat="1" x14ac:dyDescent="0.2">
      <c r="A659" s="221" t="s">
        <v>1940</v>
      </c>
      <c r="B659" s="216" t="s">
        <v>0</v>
      </c>
      <c r="C659" s="203" t="s">
        <v>476</v>
      </c>
      <c r="D659" s="59">
        <v>376265955991</v>
      </c>
      <c r="E659" s="68">
        <v>212312</v>
      </c>
      <c r="F659" s="217" t="s">
        <v>863</v>
      </c>
      <c r="G659" s="218">
        <v>98</v>
      </c>
      <c r="H659" s="223"/>
      <c r="J659" s="220" t="s">
        <v>44</v>
      </c>
    </row>
    <row r="660" spans="1:13" s="203" customFormat="1" x14ac:dyDescent="0.2">
      <c r="A660" s="221" t="s">
        <v>1940</v>
      </c>
      <c r="B660" s="216" t="s">
        <v>0</v>
      </c>
      <c r="C660" s="203" t="s">
        <v>476</v>
      </c>
      <c r="D660" s="59">
        <v>376265161996</v>
      </c>
      <c r="E660" s="68">
        <v>215170</v>
      </c>
      <c r="F660" s="217" t="s">
        <v>864</v>
      </c>
      <c r="G660" s="218">
        <v>23.95</v>
      </c>
      <c r="H660" s="223"/>
      <c r="J660" s="220" t="s">
        <v>44</v>
      </c>
    </row>
    <row r="661" spans="1:13" x14ac:dyDescent="0.2">
      <c r="A661" s="213">
        <v>42495</v>
      </c>
      <c r="B661" s="115" t="s">
        <v>127</v>
      </c>
      <c r="C661" s="130"/>
      <c r="D661" s="60">
        <v>376259904997</v>
      </c>
      <c r="E661" s="113">
        <v>350202</v>
      </c>
      <c r="F661" s="121"/>
      <c r="G661" s="122">
        <v>96.25</v>
      </c>
      <c r="H661" s="131" t="s">
        <v>865</v>
      </c>
      <c r="J661" s="254" t="s">
        <v>866</v>
      </c>
      <c r="K661" s="147"/>
      <c r="L661" s="147"/>
      <c r="M661" s="147"/>
    </row>
    <row r="662" spans="1:13" x14ac:dyDescent="0.2">
      <c r="A662" s="213">
        <v>42492</v>
      </c>
      <c r="B662" s="115" t="s">
        <v>127</v>
      </c>
      <c r="C662" s="130"/>
      <c r="D662" s="60">
        <v>376263652996</v>
      </c>
      <c r="E662" s="113">
        <v>350330</v>
      </c>
      <c r="F662" s="121"/>
      <c r="G662" s="122">
        <f>87.2+16.49</f>
        <v>103.69</v>
      </c>
      <c r="H662" s="131" t="s">
        <v>867</v>
      </c>
      <c r="J662" s="254" t="s">
        <v>866</v>
      </c>
    </row>
    <row r="663" spans="1:13" x14ac:dyDescent="0.2">
      <c r="A663" s="213">
        <v>42493</v>
      </c>
      <c r="B663" s="115" t="s">
        <v>127</v>
      </c>
      <c r="C663" s="130"/>
      <c r="D663" s="60">
        <v>376263652996</v>
      </c>
      <c r="E663" s="113">
        <v>350330</v>
      </c>
      <c r="F663" s="121"/>
      <c r="G663" s="122">
        <f>288.03+62.83</f>
        <v>350.85999999999996</v>
      </c>
      <c r="H663" s="131" t="s">
        <v>868</v>
      </c>
      <c r="J663" s="254" t="s">
        <v>866</v>
      </c>
    </row>
    <row r="664" spans="1:13" x14ac:dyDescent="0.2">
      <c r="A664" s="213">
        <v>42493</v>
      </c>
      <c r="B664" s="115" t="s">
        <v>127</v>
      </c>
      <c r="C664" s="130"/>
      <c r="D664" s="60">
        <v>376263652996</v>
      </c>
      <c r="E664" s="113">
        <v>350330</v>
      </c>
      <c r="F664" s="121"/>
      <c r="G664" s="122">
        <f>108.22+41.53</f>
        <v>149.75</v>
      </c>
      <c r="H664" s="131" t="s">
        <v>869</v>
      </c>
      <c r="J664" s="254" t="s">
        <v>866</v>
      </c>
    </row>
    <row r="665" spans="1:13" x14ac:dyDescent="0.2">
      <c r="A665" s="213">
        <v>42494</v>
      </c>
      <c r="B665" s="115" t="s">
        <v>127</v>
      </c>
      <c r="C665" s="130"/>
      <c r="D665" s="60">
        <v>376263652996</v>
      </c>
      <c r="E665" s="113">
        <v>350330</v>
      </c>
      <c r="F665" s="121"/>
      <c r="G665" s="122">
        <f>38.13+22.81</f>
        <v>60.94</v>
      </c>
      <c r="H665" s="131" t="s">
        <v>870</v>
      </c>
      <c r="J665" s="254" t="s">
        <v>866</v>
      </c>
    </row>
    <row r="666" spans="1:13" x14ac:dyDescent="0.2">
      <c r="A666" s="213">
        <v>42496</v>
      </c>
      <c r="B666" s="115" t="s">
        <v>127</v>
      </c>
      <c r="C666" s="130"/>
      <c r="D666" s="60">
        <v>376263652996</v>
      </c>
      <c r="E666" s="113">
        <v>350330</v>
      </c>
      <c r="F666" s="121"/>
      <c r="G666" s="122">
        <f>40.99+18.88</f>
        <v>59.870000000000005</v>
      </c>
      <c r="H666" s="131" t="s">
        <v>871</v>
      </c>
      <c r="J666" s="254" t="s">
        <v>866</v>
      </c>
    </row>
    <row r="667" spans="1:13" x14ac:dyDescent="0.2">
      <c r="A667" s="213">
        <v>42496</v>
      </c>
      <c r="B667" s="115" t="s">
        <v>127</v>
      </c>
      <c r="C667" s="130"/>
      <c r="D667" s="60">
        <v>3762772061999</v>
      </c>
      <c r="E667" s="113">
        <v>351770</v>
      </c>
      <c r="F667" s="121"/>
      <c r="G667" s="122">
        <v>203.95</v>
      </c>
      <c r="H667" s="131" t="s">
        <v>872</v>
      </c>
      <c r="J667" s="255" t="s">
        <v>873</v>
      </c>
    </row>
    <row r="668" spans="1:13" x14ac:dyDescent="0.2">
      <c r="A668" s="213">
        <v>42494</v>
      </c>
      <c r="B668" s="115" t="s">
        <v>127</v>
      </c>
      <c r="C668" s="130"/>
      <c r="D668" s="60">
        <v>3762702875994</v>
      </c>
      <c r="E668" s="113">
        <v>351187</v>
      </c>
      <c r="F668" s="121"/>
      <c r="G668" s="122">
        <v>86.75</v>
      </c>
      <c r="H668" s="131" t="s">
        <v>874</v>
      </c>
      <c r="J668" s="255" t="s">
        <v>873</v>
      </c>
    </row>
    <row r="669" spans="1:13" x14ac:dyDescent="0.2">
      <c r="A669" s="213">
        <v>42492</v>
      </c>
      <c r="B669" s="115" t="s">
        <v>127</v>
      </c>
      <c r="C669" s="130"/>
      <c r="D669" s="60">
        <v>376270713997</v>
      </c>
      <c r="E669" s="113">
        <v>351215</v>
      </c>
      <c r="F669" s="121"/>
      <c r="G669" s="122">
        <v>118</v>
      </c>
      <c r="H669" s="131" t="s">
        <v>875</v>
      </c>
      <c r="J669" s="255" t="s">
        <v>873</v>
      </c>
    </row>
    <row r="670" spans="1:13" x14ac:dyDescent="0.2">
      <c r="A670" s="213">
        <v>42492</v>
      </c>
      <c r="B670" s="115" t="s">
        <v>127</v>
      </c>
      <c r="C670" s="130"/>
      <c r="D670" s="60">
        <v>376270713997</v>
      </c>
      <c r="E670" s="113">
        <v>351215</v>
      </c>
      <c r="F670" s="121"/>
      <c r="G670" s="122">
        <v>106</v>
      </c>
      <c r="H670" s="131" t="s">
        <v>876</v>
      </c>
      <c r="J670" s="255" t="s">
        <v>873</v>
      </c>
    </row>
    <row r="671" spans="1:13" x14ac:dyDescent="0.2">
      <c r="A671" s="213">
        <v>42492</v>
      </c>
      <c r="B671" s="115" t="s">
        <v>127</v>
      </c>
      <c r="C671" s="130"/>
      <c r="D671" s="60">
        <v>376270713997</v>
      </c>
      <c r="E671" s="113">
        <v>351215</v>
      </c>
      <c r="F671" s="121"/>
      <c r="G671" s="122">
        <v>99.64</v>
      </c>
      <c r="H671" s="131" t="s">
        <v>877</v>
      </c>
      <c r="J671" s="255" t="s">
        <v>873</v>
      </c>
    </row>
    <row r="672" spans="1:13" x14ac:dyDescent="0.2">
      <c r="A672" s="213">
        <v>42492</v>
      </c>
      <c r="B672" s="115" t="s">
        <v>127</v>
      </c>
      <c r="C672" s="130"/>
      <c r="D672" s="60">
        <v>376270713997</v>
      </c>
      <c r="E672" s="113">
        <v>351215</v>
      </c>
      <c r="F672" s="121"/>
      <c r="G672" s="122">
        <v>94</v>
      </c>
      <c r="H672" s="131" t="s">
        <v>878</v>
      </c>
      <c r="J672" s="255" t="s">
        <v>873</v>
      </c>
    </row>
    <row r="673" spans="1:10" x14ac:dyDescent="0.2">
      <c r="A673" s="213">
        <v>42493</v>
      </c>
      <c r="B673" s="115" t="s">
        <v>127</v>
      </c>
      <c r="C673" s="130"/>
      <c r="D673" s="60">
        <v>376270713997</v>
      </c>
      <c r="E673" s="113">
        <v>351215</v>
      </c>
      <c r="F673" s="121"/>
      <c r="G673" s="122">
        <v>51</v>
      </c>
      <c r="H673" s="131" t="s">
        <v>879</v>
      </c>
      <c r="J673" s="255" t="s">
        <v>873</v>
      </c>
    </row>
    <row r="674" spans="1:10" x14ac:dyDescent="0.2">
      <c r="A674" s="213">
        <v>42493</v>
      </c>
      <c r="B674" s="115" t="s">
        <v>127</v>
      </c>
      <c r="C674" s="130"/>
      <c r="D674" s="60">
        <v>376270713997</v>
      </c>
      <c r="E674" s="113">
        <v>351215</v>
      </c>
      <c r="F674" s="121"/>
      <c r="G674" s="122">
        <v>159</v>
      </c>
      <c r="H674" s="131" t="s">
        <v>880</v>
      </c>
      <c r="J674" s="255" t="s">
        <v>873</v>
      </c>
    </row>
    <row r="675" spans="1:10" x14ac:dyDescent="0.2">
      <c r="A675" s="213">
        <v>42494</v>
      </c>
      <c r="B675" s="115" t="s">
        <v>127</v>
      </c>
      <c r="C675" s="130"/>
      <c r="D675" s="60">
        <v>376270713997</v>
      </c>
      <c r="E675" s="113">
        <v>351215</v>
      </c>
      <c r="F675" s="121"/>
      <c r="G675" s="122">
        <v>219.25</v>
      </c>
      <c r="H675" s="131" t="s">
        <v>881</v>
      </c>
      <c r="J675" s="255" t="s">
        <v>873</v>
      </c>
    </row>
    <row r="676" spans="1:10" x14ac:dyDescent="0.2">
      <c r="A676" s="213">
        <v>42494</v>
      </c>
      <c r="B676" s="115" t="s">
        <v>127</v>
      </c>
      <c r="C676" s="130"/>
      <c r="D676" s="60">
        <v>376270713997</v>
      </c>
      <c r="E676" s="113">
        <v>351215</v>
      </c>
      <c r="F676" s="121"/>
      <c r="G676" s="122">
        <v>67</v>
      </c>
      <c r="H676" s="131" t="s">
        <v>882</v>
      </c>
      <c r="J676" s="255" t="s">
        <v>873</v>
      </c>
    </row>
    <row r="677" spans="1:10" x14ac:dyDescent="0.2">
      <c r="A677" s="213">
        <v>42495</v>
      </c>
      <c r="B677" s="115" t="s">
        <v>127</v>
      </c>
      <c r="C677" s="130"/>
      <c r="D677" s="60">
        <v>376270713997</v>
      </c>
      <c r="E677" s="113">
        <v>351215</v>
      </c>
      <c r="F677" s="121"/>
      <c r="G677" s="122">
        <v>113.42</v>
      </c>
      <c r="H677" s="131" t="s">
        <v>883</v>
      </c>
      <c r="J677" s="255" t="s">
        <v>873</v>
      </c>
    </row>
    <row r="678" spans="1:10" x14ac:dyDescent="0.2">
      <c r="A678" s="213">
        <v>42493</v>
      </c>
      <c r="B678" s="115" t="s">
        <v>127</v>
      </c>
      <c r="C678" s="130"/>
      <c r="D678" s="60">
        <v>376270713997</v>
      </c>
      <c r="E678" s="113">
        <v>351215</v>
      </c>
      <c r="F678" s="121"/>
      <c r="G678" s="122">
        <v>95.46</v>
      </c>
      <c r="H678" s="131" t="s">
        <v>884</v>
      </c>
      <c r="J678" s="255" t="s">
        <v>873</v>
      </c>
    </row>
    <row r="679" spans="1:10" x14ac:dyDescent="0.2">
      <c r="A679" s="213">
        <v>42494</v>
      </c>
      <c r="B679" s="115" t="s">
        <v>127</v>
      </c>
      <c r="C679" s="130"/>
      <c r="D679" s="60">
        <v>376270713997</v>
      </c>
      <c r="E679" s="113">
        <v>351215</v>
      </c>
      <c r="F679" s="121"/>
      <c r="G679" s="122">
        <v>53.45</v>
      </c>
      <c r="H679" s="131" t="s">
        <v>885</v>
      </c>
      <c r="J679" s="255" t="s">
        <v>873</v>
      </c>
    </row>
    <row r="680" spans="1:10" x14ac:dyDescent="0.2">
      <c r="A680" s="213">
        <v>42496</v>
      </c>
      <c r="B680" s="115" t="s">
        <v>127</v>
      </c>
      <c r="C680" s="130"/>
      <c r="D680" s="60">
        <v>376270713997</v>
      </c>
      <c r="E680" s="113">
        <v>351215</v>
      </c>
      <c r="F680" s="121"/>
      <c r="G680" s="122">
        <v>58.8</v>
      </c>
      <c r="H680" s="131" t="s">
        <v>886</v>
      </c>
      <c r="J680" s="255" t="s">
        <v>873</v>
      </c>
    </row>
    <row r="681" spans="1:10" x14ac:dyDescent="0.2">
      <c r="A681" s="213">
        <v>42492</v>
      </c>
      <c r="B681" s="115" t="s">
        <v>127</v>
      </c>
      <c r="C681" s="130"/>
      <c r="D681" s="60">
        <v>376270713997</v>
      </c>
      <c r="E681" s="113">
        <v>351215</v>
      </c>
      <c r="F681" s="121"/>
      <c r="G681" s="122">
        <v>297.95</v>
      </c>
      <c r="H681" s="131" t="s">
        <v>887</v>
      </c>
      <c r="J681" s="255" t="s">
        <v>873</v>
      </c>
    </row>
    <row r="682" spans="1:10" x14ac:dyDescent="0.2">
      <c r="A682" s="213">
        <v>42493</v>
      </c>
      <c r="B682" s="115" t="s">
        <v>127</v>
      </c>
      <c r="C682" s="130"/>
      <c r="D682" s="60">
        <v>376270713997</v>
      </c>
      <c r="E682" s="113">
        <v>351215</v>
      </c>
      <c r="F682" s="121"/>
      <c r="G682" s="122">
        <v>230.27</v>
      </c>
      <c r="H682" s="131" t="s">
        <v>888</v>
      </c>
      <c r="J682" s="255" t="s">
        <v>873</v>
      </c>
    </row>
    <row r="683" spans="1:10" x14ac:dyDescent="0.2">
      <c r="A683" s="213">
        <v>42493</v>
      </c>
      <c r="B683" s="115" t="s">
        <v>127</v>
      </c>
      <c r="C683" s="130"/>
      <c r="D683" s="60">
        <v>376270713997</v>
      </c>
      <c r="E683" s="113">
        <v>351215</v>
      </c>
      <c r="F683" s="121"/>
      <c r="G683" s="122">
        <v>53.9</v>
      </c>
      <c r="H683" s="131" t="s">
        <v>889</v>
      </c>
      <c r="J683" s="255" t="s">
        <v>873</v>
      </c>
    </row>
    <row r="684" spans="1:10" x14ac:dyDescent="0.2">
      <c r="A684" s="213">
        <v>42493</v>
      </c>
      <c r="B684" s="115" t="s">
        <v>127</v>
      </c>
      <c r="C684" s="130"/>
      <c r="D684" s="60">
        <v>376270713997</v>
      </c>
      <c r="E684" s="113">
        <v>351215</v>
      </c>
      <c r="F684" s="121"/>
      <c r="G684" s="122">
        <v>319.95999999999998</v>
      </c>
      <c r="H684" s="131" t="s">
        <v>890</v>
      </c>
      <c r="J684" s="255" t="s">
        <v>873</v>
      </c>
    </row>
    <row r="685" spans="1:10" x14ac:dyDescent="0.2">
      <c r="A685" s="213">
        <v>42494</v>
      </c>
      <c r="B685" s="115" t="s">
        <v>127</v>
      </c>
      <c r="C685" s="130"/>
      <c r="D685" s="60">
        <v>376270713997</v>
      </c>
      <c r="E685" s="113">
        <v>351215</v>
      </c>
      <c r="F685" s="121"/>
      <c r="G685" s="122">
        <v>755.95</v>
      </c>
      <c r="H685" s="131" t="s">
        <v>891</v>
      </c>
      <c r="J685" s="255" t="s">
        <v>873</v>
      </c>
    </row>
    <row r="686" spans="1:10" x14ac:dyDescent="0.2">
      <c r="A686" s="213">
        <v>42494</v>
      </c>
      <c r="B686" s="115" t="s">
        <v>127</v>
      </c>
      <c r="C686" s="130"/>
      <c r="D686" s="60">
        <v>376270713997</v>
      </c>
      <c r="E686" s="113">
        <v>351215</v>
      </c>
      <c r="F686" s="121"/>
      <c r="G686" s="122">
        <v>84.42</v>
      </c>
      <c r="H686" s="131" t="s">
        <v>892</v>
      </c>
      <c r="J686" s="255" t="s">
        <v>873</v>
      </c>
    </row>
    <row r="687" spans="1:10" x14ac:dyDescent="0.2">
      <c r="A687" s="213">
        <v>42495</v>
      </c>
      <c r="B687" s="115" t="s">
        <v>127</v>
      </c>
      <c r="C687" s="130"/>
      <c r="D687" s="60">
        <v>376270713997</v>
      </c>
      <c r="E687" s="113">
        <v>351215</v>
      </c>
      <c r="F687" s="121"/>
      <c r="G687" s="122">
        <v>59.95</v>
      </c>
      <c r="H687" s="131" t="s">
        <v>893</v>
      </c>
      <c r="J687" s="255" t="s">
        <v>873</v>
      </c>
    </row>
    <row r="688" spans="1:10" x14ac:dyDescent="0.2">
      <c r="A688" s="213">
        <v>42496</v>
      </c>
      <c r="B688" s="115" t="s">
        <v>127</v>
      </c>
      <c r="C688" s="130"/>
      <c r="D688" s="60">
        <v>376270713997</v>
      </c>
      <c r="E688" s="113">
        <v>351215</v>
      </c>
      <c r="F688" s="121"/>
      <c r="G688" s="122">
        <v>394.95</v>
      </c>
      <c r="H688" s="131" t="s">
        <v>894</v>
      </c>
      <c r="J688" s="255" t="s">
        <v>873</v>
      </c>
    </row>
    <row r="689" spans="1:10" s="203" customFormat="1" x14ac:dyDescent="0.2">
      <c r="A689" s="215">
        <v>42494</v>
      </c>
      <c r="B689" s="216" t="s">
        <v>127</v>
      </c>
      <c r="C689" s="203" t="s">
        <v>151</v>
      </c>
      <c r="D689" s="59">
        <v>376216686992</v>
      </c>
      <c r="E689" s="68">
        <v>217518</v>
      </c>
      <c r="F689" s="217"/>
      <c r="G689" s="218">
        <f>17.21+36.11</f>
        <v>53.32</v>
      </c>
      <c r="H689" s="223" t="s">
        <v>895</v>
      </c>
      <c r="J689" s="263" t="s">
        <v>246</v>
      </c>
    </row>
    <row r="690" spans="1:10" s="203" customFormat="1" x14ac:dyDescent="0.2">
      <c r="A690" s="215">
        <v>42492</v>
      </c>
      <c r="B690" s="216" t="s">
        <v>127</v>
      </c>
      <c r="C690" s="203" t="s">
        <v>151</v>
      </c>
      <c r="D690" s="59">
        <v>376216686992</v>
      </c>
      <c r="E690" s="68">
        <v>217518</v>
      </c>
      <c r="F690" s="217"/>
      <c r="G690" s="218">
        <f>14.89+74.32</f>
        <v>89.21</v>
      </c>
      <c r="H690" s="223" t="s">
        <v>896</v>
      </c>
      <c r="J690" s="263" t="s">
        <v>246</v>
      </c>
    </row>
    <row r="691" spans="1:10" s="203" customFormat="1" x14ac:dyDescent="0.2">
      <c r="A691" s="215">
        <v>42495</v>
      </c>
      <c r="B691" s="216" t="s">
        <v>127</v>
      </c>
      <c r="C691" s="203" t="s">
        <v>151</v>
      </c>
      <c r="D691" s="59">
        <v>376235651993</v>
      </c>
      <c r="E691" s="68">
        <v>226401</v>
      </c>
      <c r="F691" s="217"/>
      <c r="G691" s="218">
        <f>10.19+78.71</f>
        <v>88.899999999999991</v>
      </c>
      <c r="H691" s="223" t="s">
        <v>897</v>
      </c>
      <c r="J691" s="263" t="s">
        <v>246</v>
      </c>
    </row>
    <row r="692" spans="1:10" s="203" customFormat="1" x14ac:dyDescent="0.2">
      <c r="A692" s="215">
        <v>42496</v>
      </c>
      <c r="B692" s="216" t="s">
        <v>127</v>
      </c>
      <c r="C692" s="203" t="s">
        <v>151</v>
      </c>
      <c r="D692" s="59">
        <v>376235651993</v>
      </c>
      <c r="E692" s="68">
        <v>226401</v>
      </c>
      <c r="F692" s="217"/>
      <c r="G692" s="218">
        <f>14.56+101.34</f>
        <v>115.9</v>
      </c>
      <c r="H692" s="223" t="s">
        <v>898</v>
      </c>
      <c r="J692" s="263" t="s">
        <v>246</v>
      </c>
    </row>
    <row r="693" spans="1:10" s="203" customFormat="1" x14ac:dyDescent="0.2">
      <c r="A693" s="215">
        <v>42496</v>
      </c>
      <c r="B693" s="216" t="s">
        <v>127</v>
      </c>
      <c r="C693" s="203" t="s">
        <v>151</v>
      </c>
      <c r="D693" s="59">
        <v>376235651993</v>
      </c>
      <c r="E693" s="68">
        <v>226401</v>
      </c>
      <c r="F693" s="217"/>
      <c r="G693" s="218">
        <f>10+44.95</f>
        <v>54.95</v>
      </c>
      <c r="H693" s="223" t="s">
        <v>899</v>
      </c>
      <c r="J693" s="263" t="s">
        <v>246</v>
      </c>
    </row>
    <row r="694" spans="1:10" s="203" customFormat="1" x14ac:dyDescent="0.2">
      <c r="A694" s="215">
        <v>42496</v>
      </c>
      <c r="B694" s="216" t="s">
        <v>127</v>
      </c>
      <c r="C694" s="203" t="s">
        <v>151</v>
      </c>
      <c r="D694" s="59">
        <v>376235651993</v>
      </c>
      <c r="E694" s="68">
        <v>226401</v>
      </c>
      <c r="F694" s="217"/>
      <c r="G694" s="218">
        <f>7.75+98.46</f>
        <v>106.21</v>
      </c>
      <c r="H694" s="223" t="s">
        <v>900</v>
      </c>
      <c r="J694" s="263" t="s">
        <v>246</v>
      </c>
    </row>
    <row r="695" spans="1:10" s="203" customFormat="1" x14ac:dyDescent="0.2">
      <c r="A695" s="215">
        <v>42495</v>
      </c>
      <c r="B695" s="216" t="s">
        <v>127</v>
      </c>
      <c r="C695" s="203" t="s">
        <v>151</v>
      </c>
      <c r="D695" s="59">
        <v>376235651993</v>
      </c>
      <c r="E695" s="68">
        <v>226401</v>
      </c>
      <c r="F695" s="217"/>
      <c r="G695" s="218">
        <f>7.61+42.34</f>
        <v>49.95</v>
      </c>
      <c r="H695" s="223" t="s">
        <v>901</v>
      </c>
      <c r="J695" s="263" t="s">
        <v>246</v>
      </c>
    </row>
    <row r="696" spans="1:10" s="203" customFormat="1" x14ac:dyDescent="0.2">
      <c r="A696" s="215">
        <v>42494</v>
      </c>
      <c r="B696" s="216" t="s">
        <v>127</v>
      </c>
      <c r="C696" s="203" t="s">
        <v>151</v>
      </c>
      <c r="D696" s="59">
        <v>376235651993</v>
      </c>
      <c r="E696" s="68">
        <v>226401</v>
      </c>
      <c r="F696" s="217"/>
      <c r="G696" s="218">
        <f>15.42+85.48</f>
        <v>100.9</v>
      </c>
      <c r="H696" s="223" t="s">
        <v>902</v>
      </c>
      <c r="J696" s="263" t="s">
        <v>246</v>
      </c>
    </row>
    <row r="697" spans="1:10" s="203" customFormat="1" x14ac:dyDescent="0.2">
      <c r="A697" s="215">
        <v>42493</v>
      </c>
      <c r="B697" s="216" t="s">
        <v>127</v>
      </c>
      <c r="C697" s="203" t="s">
        <v>151</v>
      </c>
      <c r="D697" s="59">
        <v>376235651993</v>
      </c>
      <c r="E697" s="68">
        <v>226401</v>
      </c>
      <c r="F697" s="217"/>
      <c r="G697" s="218">
        <f>28.13+115.72</f>
        <v>143.85</v>
      </c>
      <c r="H697" s="223" t="s">
        <v>903</v>
      </c>
      <c r="J697" s="263" t="s">
        <v>246</v>
      </c>
    </row>
    <row r="698" spans="1:10" s="203" customFormat="1" x14ac:dyDescent="0.2">
      <c r="A698" s="215">
        <v>42493</v>
      </c>
      <c r="B698" s="216" t="s">
        <v>127</v>
      </c>
      <c r="C698" s="203" t="s">
        <v>151</v>
      </c>
      <c r="D698" s="59">
        <v>376235651993</v>
      </c>
      <c r="E698" s="68">
        <v>226401</v>
      </c>
      <c r="F698" s="217"/>
      <c r="G698" s="218">
        <f>4.1+53.66</f>
        <v>57.76</v>
      </c>
      <c r="H698" s="223" t="s">
        <v>904</v>
      </c>
      <c r="J698" s="263" t="s">
        <v>246</v>
      </c>
    </row>
    <row r="699" spans="1:10" s="203" customFormat="1" x14ac:dyDescent="0.2">
      <c r="A699" s="215">
        <v>42492</v>
      </c>
      <c r="B699" s="216" t="s">
        <v>127</v>
      </c>
      <c r="C699" s="203" t="s">
        <v>151</v>
      </c>
      <c r="D699" s="59">
        <v>376235651993</v>
      </c>
      <c r="E699" s="68">
        <v>226401</v>
      </c>
      <c r="F699" s="217"/>
      <c r="G699" s="218">
        <f>12.05+41.9</f>
        <v>53.95</v>
      </c>
      <c r="H699" s="223" t="s">
        <v>905</v>
      </c>
      <c r="J699" s="263" t="s">
        <v>246</v>
      </c>
    </row>
    <row r="700" spans="1:10" s="203" customFormat="1" x14ac:dyDescent="0.2">
      <c r="A700" s="215">
        <v>42492</v>
      </c>
      <c r="B700" s="216" t="s">
        <v>127</v>
      </c>
      <c r="C700" s="203" t="s">
        <v>151</v>
      </c>
      <c r="D700" s="59">
        <v>376235651993</v>
      </c>
      <c r="E700" s="68">
        <v>226401</v>
      </c>
      <c r="F700" s="217"/>
      <c r="G700" s="218">
        <f>4.57+57.38</f>
        <v>61.95</v>
      </c>
      <c r="H700" s="223" t="s">
        <v>907</v>
      </c>
      <c r="J700" s="263" t="s">
        <v>246</v>
      </c>
    </row>
    <row r="701" spans="1:10" s="203" customFormat="1" x14ac:dyDescent="0.2">
      <c r="A701" s="215">
        <v>42492</v>
      </c>
      <c r="B701" s="216" t="s">
        <v>127</v>
      </c>
      <c r="C701" s="203" t="s">
        <v>151</v>
      </c>
      <c r="D701" s="59">
        <v>376235651993</v>
      </c>
      <c r="E701" s="68">
        <v>226401</v>
      </c>
      <c r="F701" s="217"/>
      <c r="G701" s="218">
        <f>3.83+51.58</f>
        <v>55.41</v>
      </c>
      <c r="H701" s="223" t="s">
        <v>908</v>
      </c>
      <c r="J701" s="263" t="s">
        <v>246</v>
      </c>
    </row>
    <row r="702" spans="1:10" s="261" customFormat="1" x14ac:dyDescent="0.2">
      <c r="A702" s="256" t="s">
        <v>1941</v>
      </c>
      <c r="B702" s="257" t="s">
        <v>0</v>
      </c>
      <c r="C702" s="261" t="s">
        <v>476</v>
      </c>
      <c r="D702" s="258">
        <v>376263109997</v>
      </c>
      <c r="E702" s="259">
        <v>350305</v>
      </c>
      <c r="F702" s="260" t="s">
        <v>909</v>
      </c>
      <c r="G702" s="227">
        <v>104.95</v>
      </c>
      <c r="H702" s="228"/>
      <c r="J702" s="263" t="s">
        <v>246</v>
      </c>
    </row>
    <row r="703" spans="1:10" s="261" customFormat="1" x14ac:dyDescent="0.2">
      <c r="A703" s="256" t="s">
        <v>1941</v>
      </c>
      <c r="B703" s="257" t="s">
        <v>0</v>
      </c>
      <c r="C703" s="261" t="s">
        <v>476</v>
      </c>
      <c r="D703" s="258">
        <v>376263109997</v>
      </c>
      <c r="E703" s="259">
        <v>350305</v>
      </c>
      <c r="F703" s="260" t="s">
        <v>910</v>
      </c>
      <c r="G703" s="227">
        <v>104.95</v>
      </c>
      <c r="H703" s="228"/>
      <c r="J703" s="263" t="s">
        <v>246</v>
      </c>
    </row>
    <row r="704" spans="1:10" s="261" customFormat="1" x14ac:dyDescent="0.2">
      <c r="A704" s="256" t="s">
        <v>1941</v>
      </c>
      <c r="B704" s="257" t="s">
        <v>0</v>
      </c>
      <c r="C704" s="261" t="s">
        <v>476</v>
      </c>
      <c r="D704" s="262">
        <v>376270921996</v>
      </c>
      <c r="E704" s="259">
        <v>351232</v>
      </c>
      <c r="F704" s="260" t="s">
        <v>911</v>
      </c>
      <c r="G704" s="227">
        <v>104.95</v>
      </c>
      <c r="H704" s="228"/>
      <c r="J704" s="263" t="s">
        <v>246</v>
      </c>
    </row>
    <row r="705" spans="1:14" s="261" customFormat="1" x14ac:dyDescent="0.2">
      <c r="A705" s="256" t="s">
        <v>1941</v>
      </c>
      <c r="B705" s="257" t="s">
        <v>0</v>
      </c>
      <c r="C705" s="261" t="s">
        <v>476</v>
      </c>
      <c r="D705" s="262">
        <v>376270921996</v>
      </c>
      <c r="E705" s="259">
        <v>351232</v>
      </c>
      <c r="F705" s="260" t="s">
        <v>912</v>
      </c>
      <c r="G705" s="227">
        <v>104.95</v>
      </c>
      <c r="H705" s="228"/>
      <c r="J705" s="263" t="s">
        <v>246</v>
      </c>
    </row>
    <row r="706" spans="1:14" x14ac:dyDescent="0.2">
      <c r="A706" s="148" t="s">
        <v>1941</v>
      </c>
      <c r="B706" s="115" t="s">
        <v>0</v>
      </c>
      <c r="C706" s="19"/>
      <c r="D706" s="60">
        <v>376272038997</v>
      </c>
      <c r="E706" s="113">
        <v>351760</v>
      </c>
      <c r="F706" s="120" t="s">
        <v>913</v>
      </c>
      <c r="G706" s="122">
        <v>86.8</v>
      </c>
      <c r="H706" s="131"/>
      <c r="J706" s="265" t="s">
        <v>12</v>
      </c>
    </row>
    <row r="707" spans="1:14" s="261" customFormat="1" x14ac:dyDescent="0.2">
      <c r="A707" s="256" t="s">
        <v>1941</v>
      </c>
      <c r="B707" s="257" t="s">
        <v>0</v>
      </c>
      <c r="C707" s="261" t="s">
        <v>476</v>
      </c>
      <c r="D707" s="262">
        <v>376268424995</v>
      </c>
      <c r="E707" s="259">
        <v>350813</v>
      </c>
      <c r="F707" s="260" t="s">
        <v>914</v>
      </c>
      <c r="G707" s="227">
        <v>54.95</v>
      </c>
      <c r="H707" s="228"/>
      <c r="J707" s="264" t="s">
        <v>246</v>
      </c>
    </row>
    <row r="708" spans="1:14" s="203" customFormat="1" x14ac:dyDescent="0.2">
      <c r="A708" s="256" t="s">
        <v>1941</v>
      </c>
      <c r="B708" s="216" t="s">
        <v>0</v>
      </c>
      <c r="C708" s="203" t="s">
        <v>476</v>
      </c>
      <c r="D708" s="59">
        <v>376265838999</v>
      </c>
      <c r="E708" s="68">
        <v>350445</v>
      </c>
      <c r="F708" s="217" t="s">
        <v>915</v>
      </c>
      <c r="G708" s="218">
        <v>33.950000000000003</v>
      </c>
      <c r="H708" s="223"/>
      <c r="J708" s="264" t="s">
        <v>246</v>
      </c>
    </row>
    <row r="709" spans="1:14" x14ac:dyDescent="0.2">
      <c r="A709" s="213">
        <v>42499</v>
      </c>
      <c r="B709" s="20" t="s">
        <v>127</v>
      </c>
      <c r="C709" s="130"/>
      <c r="D709" s="60">
        <v>376263652996</v>
      </c>
      <c r="E709" s="113">
        <v>350330</v>
      </c>
      <c r="F709" s="121"/>
      <c r="G709" s="122">
        <f>157.14+28.99</f>
        <v>186.13</v>
      </c>
      <c r="H709" s="131" t="s">
        <v>916</v>
      </c>
      <c r="J709" s="266" t="s">
        <v>917</v>
      </c>
      <c r="K709" s="147"/>
      <c r="L709" s="147"/>
      <c r="M709" s="147"/>
      <c r="N709" s="147"/>
    </row>
    <row r="710" spans="1:14" x14ac:dyDescent="0.2">
      <c r="A710" s="213">
        <v>42499</v>
      </c>
      <c r="B710" s="20" t="s">
        <v>127</v>
      </c>
      <c r="C710" s="130"/>
      <c r="D710" s="60">
        <v>376263652996</v>
      </c>
      <c r="E710" s="113">
        <v>350330</v>
      </c>
      <c r="F710" s="121"/>
      <c r="G710" s="122">
        <f>154.02+56.51</f>
        <v>210.53</v>
      </c>
      <c r="H710" s="134" t="s">
        <v>918</v>
      </c>
      <c r="J710" s="266" t="s">
        <v>917</v>
      </c>
    </row>
    <row r="711" spans="1:14" x14ac:dyDescent="0.2">
      <c r="A711" s="213">
        <v>42499</v>
      </c>
      <c r="B711" s="20" t="s">
        <v>127</v>
      </c>
      <c r="C711" s="130"/>
      <c r="D711" s="60">
        <v>376263652996</v>
      </c>
      <c r="E711" s="113">
        <v>350330</v>
      </c>
      <c r="F711" s="121"/>
      <c r="G711" s="122">
        <f>13.29+29.41</f>
        <v>42.7</v>
      </c>
      <c r="H711" s="134" t="s">
        <v>919</v>
      </c>
      <c r="J711" s="266" t="s">
        <v>917</v>
      </c>
    </row>
    <row r="712" spans="1:14" x14ac:dyDescent="0.2">
      <c r="A712" s="213">
        <v>42499</v>
      </c>
      <c r="B712" s="20" t="s">
        <v>127</v>
      </c>
      <c r="C712" s="130"/>
      <c r="D712" s="60">
        <v>376263652996</v>
      </c>
      <c r="E712" s="113">
        <v>350330</v>
      </c>
      <c r="F712" s="121"/>
      <c r="G712" s="122">
        <f>59.02+37.23</f>
        <v>96.25</v>
      </c>
      <c r="H712" s="134" t="s">
        <v>920</v>
      </c>
      <c r="J712" s="266" t="s">
        <v>917</v>
      </c>
    </row>
    <row r="713" spans="1:14" x14ac:dyDescent="0.2">
      <c r="A713" s="213">
        <v>42499</v>
      </c>
      <c r="B713" s="20" t="s">
        <v>127</v>
      </c>
      <c r="C713" s="130"/>
      <c r="D713" s="60">
        <v>376263652996</v>
      </c>
      <c r="E713" s="113">
        <v>350330</v>
      </c>
      <c r="F713" s="121"/>
      <c r="G713" s="122">
        <f>11.5+72.98</f>
        <v>84.48</v>
      </c>
      <c r="H713" s="134" t="s">
        <v>921</v>
      </c>
      <c r="J713" s="266" t="s">
        <v>917</v>
      </c>
    </row>
    <row r="714" spans="1:14" x14ac:dyDescent="0.2">
      <c r="A714" s="213">
        <v>42502</v>
      </c>
      <c r="B714" s="20" t="s">
        <v>127</v>
      </c>
      <c r="C714" s="130"/>
      <c r="D714" s="60">
        <v>376263652996</v>
      </c>
      <c r="E714" s="113">
        <v>350330</v>
      </c>
      <c r="F714" s="121"/>
      <c r="G714" s="122">
        <f>49.34+25.51</f>
        <v>74.850000000000009</v>
      </c>
      <c r="H714" s="134" t="s">
        <v>922</v>
      </c>
      <c r="J714" s="266" t="s">
        <v>917</v>
      </c>
    </row>
    <row r="715" spans="1:14" x14ac:dyDescent="0.2">
      <c r="A715" s="213">
        <v>42501</v>
      </c>
      <c r="B715" s="20" t="s">
        <v>127</v>
      </c>
      <c r="C715" s="130"/>
      <c r="D715" s="60">
        <v>376259904997</v>
      </c>
      <c r="E715" s="113">
        <v>350202</v>
      </c>
      <c r="F715" s="121"/>
      <c r="G715" s="122">
        <f>20.45+4.06</f>
        <v>24.509999999999998</v>
      </c>
      <c r="H715" s="134" t="s">
        <v>923</v>
      </c>
      <c r="J715" s="266" t="s">
        <v>924</v>
      </c>
      <c r="K715" s="19"/>
      <c r="L715" s="19"/>
      <c r="M715" s="19"/>
      <c r="N715" s="19"/>
    </row>
    <row r="716" spans="1:14" x14ac:dyDescent="0.2">
      <c r="A716" s="213">
        <v>42501</v>
      </c>
      <c r="B716" s="20" t="s">
        <v>127</v>
      </c>
      <c r="C716" s="130"/>
      <c r="D716" s="60">
        <v>376259904997</v>
      </c>
      <c r="E716" s="113">
        <v>350202</v>
      </c>
      <c r="F716" s="121"/>
      <c r="G716" s="122">
        <f>249.49+28.66</f>
        <v>278.15000000000003</v>
      </c>
      <c r="H716" s="134" t="s">
        <v>925</v>
      </c>
      <c r="J716" s="266" t="s">
        <v>924</v>
      </c>
    </row>
    <row r="717" spans="1:14" x14ac:dyDescent="0.2">
      <c r="A717" s="213">
        <v>42501</v>
      </c>
      <c r="B717" s="20" t="s">
        <v>127</v>
      </c>
      <c r="C717" s="130"/>
      <c r="D717" s="60">
        <v>376259904997</v>
      </c>
      <c r="E717" s="113">
        <v>350202</v>
      </c>
      <c r="F717" s="121"/>
      <c r="G717" s="122">
        <f>85.92+14.03</f>
        <v>99.95</v>
      </c>
      <c r="H717" s="134" t="s">
        <v>926</v>
      </c>
      <c r="J717" s="266" t="s">
        <v>924</v>
      </c>
    </row>
    <row r="718" spans="1:14" x14ac:dyDescent="0.2">
      <c r="A718" s="213">
        <v>42500</v>
      </c>
      <c r="B718" s="20" t="s">
        <v>127</v>
      </c>
      <c r="C718" s="130"/>
      <c r="D718" s="60">
        <v>3762449523995</v>
      </c>
      <c r="E718" s="113">
        <v>226743</v>
      </c>
      <c r="F718" s="121"/>
      <c r="G718" s="122">
        <v>13.5</v>
      </c>
      <c r="H718" s="134" t="s">
        <v>927</v>
      </c>
      <c r="J718" s="124" t="s">
        <v>320</v>
      </c>
    </row>
    <row r="719" spans="1:14" x14ac:dyDescent="0.2">
      <c r="A719" s="213">
        <v>42503</v>
      </c>
      <c r="B719" s="20" t="s">
        <v>127</v>
      </c>
      <c r="C719" s="130"/>
      <c r="D719" s="60">
        <v>376266957996</v>
      </c>
      <c r="E719" s="113">
        <v>350522</v>
      </c>
      <c r="F719" s="121"/>
      <c r="G719" s="122">
        <f>41.94+141.96</f>
        <v>183.9</v>
      </c>
      <c r="H719" s="134" t="s">
        <v>928</v>
      </c>
      <c r="J719" s="124" t="s">
        <v>435</v>
      </c>
    </row>
    <row r="720" spans="1:14" x14ac:dyDescent="0.2">
      <c r="A720" s="213">
        <v>42503</v>
      </c>
      <c r="B720" s="20" t="s">
        <v>127</v>
      </c>
      <c r="C720" s="130"/>
      <c r="D720" s="60">
        <v>376266957996</v>
      </c>
      <c r="E720" s="113">
        <v>350522</v>
      </c>
      <c r="F720" s="121"/>
      <c r="G720" s="122">
        <f>3.11+32.84</f>
        <v>35.950000000000003</v>
      </c>
      <c r="H720" s="134" t="s">
        <v>929</v>
      </c>
      <c r="J720" s="124" t="s">
        <v>435</v>
      </c>
    </row>
    <row r="721" spans="1:10" x14ac:dyDescent="0.2">
      <c r="A721" s="213">
        <v>42500</v>
      </c>
      <c r="B721" s="20" t="s">
        <v>127</v>
      </c>
      <c r="C721" s="130"/>
      <c r="D721" s="60">
        <v>376265641997</v>
      </c>
      <c r="E721" s="113">
        <v>350428</v>
      </c>
      <c r="F721" s="121"/>
      <c r="G721" s="122">
        <v>181.95</v>
      </c>
      <c r="H721" s="134" t="s">
        <v>930</v>
      </c>
      <c r="J721" s="124" t="s">
        <v>305</v>
      </c>
    </row>
    <row r="722" spans="1:10" x14ac:dyDescent="0.2">
      <c r="A722" s="213">
        <v>42501</v>
      </c>
      <c r="B722" s="20" t="s">
        <v>127</v>
      </c>
      <c r="C722" s="130"/>
      <c r="D722" s="60">
        <v>376270875994</v>
      </c>
      <c r="E722" s="113">
        <v>351187</v>
      </c>
      <c r="F722" s="121"/>
      <c r="G722" s="122">
        <f>10.5+56.4</f>
        <v>66.900000000000006</v>
      </c>
      <c r="H722" s="134" t="s">
        <v>931</v>
      </c>
      <c r="J722" s="124" t="s">
        <v>305</v>
      </c>
    </row>
    <row r="723" spans="1:10" x14ac:dyDescent="0.2">
      <c r="A723" s="213">
        <v>42502</v>
      </c>
      <c r="B723" s="20" t="s">
        <v>127</v>
      </c>
      <c r="C723" s="130"/>
      <c r="D723" s="60">
        <v>376270875994</v>
      </c>
      <c r="E723" s="113">
        <v>351187</v>
      </c>
      <c r="F723" s="121"/>
      <c r="G723" s="122">
        <f>38.93+184.02</f>
        <v>222.95000000000002</v>
      </c>
      <c r="H723" s="134" t="s">
        <v>932</v>
      </c>
      <c r="J723" s="124" t="s">
        <v>305</v>
      </c>
    </row>
    <row r="724" spans="1:10" x14ac:dyDescent="0.2">
      <c r="A724" s="213">
        <v>42501</v>
      </c>
      <c r="B724" s="20" t="s">
        <v>127</v>
      </c>
      <c r="C724" s="130"/>
      <c r="D724" s="60">
        <v>376271123998</v>
      </c>
      <c r="E724" s="113">
        <v>351306</v>
      </c>
      <c r="F724" s="121"/>
      <c r="G724" s="122">
        <v>262.64999999999998</v>
      </c>
      <c r="H724" s="134" t="s">
        <v>933</v>
      </c>
      <c r="J724" s="124" t="s">
        <v>305</v>
      </c>
    </row>
    <row r="725" spans="1:10" x14ac:dyDescent="0.2">
      <c r="A725" s="213">
        <v>42503</v>
      </c>
      <c r="B725" s="20" t="s">
        <v>127</v>
      </c>
      <c r="C725" s="130"/>
      <c r="D725" s="60">
        <v>376270713997</v>
      </c>
      <c r="E725" s="113">
        <v>351215</v>
      </c>
      <c r="F725" s="121"/>
      <c r="G725" s="122">
        <f>22.5+34.74</f>
        <v>57.24</v>
      </c>
      <c r="H725" s="134" t="s">
        <v>934</v>
      </c>
      <c r="J725" s="124" t="s">
        <v>305</v>
      </c>
    </row>
    <row r="726" spans="1:10" x14ac:dyDescent="0.2">
      <c r="A726" s="213">
        <v>42503</v>
      </c>
      <c r="B726" s="20" t="s">
        <v>127</v>
      </c>
      <c r="C726" s="130"/>
      <c r="D726" s="60">
        <v>376270713997</v>
      </c>
      <c r="E726" s="113">
        <v>351215</v>
      </c>
      <c r="F726" s="121"/>
      <c r="G726" s="122">
        <f>40.88+179.02</f>
        <v>219.9</v>
      </c>
      <c r="H726" s="134" t="s">
        <v>935</v>
      </c>
      <c r="J726" s="124" t="s">
        <v>305</v>
      </c>
    </row>
    <row r="727" spans="1:10" x14ac:dyDescent="0.2">
      <c r="A727" s="213">
        <v>42502</v>
      </c>
      <c r="B727" s="20" t="s">
        <v>127</v>
      </c>
      <c r="C727" s="130"/>
      <c r="D727" s="60">
        <v>376270713997</v>
      </c>
      <c r="E727" s="113">
        <v>351215</v>
      </c>
      <c r="F727" s="121"/>
      <c r="G727" s="122">
        <f>32.2+69.8</f>
        <v>102</v>
      </c>
      <c r="H727" s="134" t="s">
        <v>936</v>
      </c>
      <c r="J727" s="124" t="s">
        <v>305</v>
      </c>
    </row>
    <row r="728" spans="1:10" x14ac:dyDescent="0.2">
      <c r="A728" s="213">
        <v>42502</v>
      </c>
      <c r="B728" s="20" t="s">
        <v>127</v>
      </c>
      <c r="C728" s="130"/>
      <c r="D728" s="60">
        <v>376270713997</v>
      </c>
      <c r="E728" s="113">
        <v>351215</v>
      </c>
      <c r="F728" s="121"/>
      <c r="G728" s="122">
        <f>18.26+34.74</f>
        <v>53</v>
      </c>
      <c r="H728" s="134" t="s">
        <v>937</v>
      </c>
      <c r="J728" s="124" t="s">
        <v>305</v>
      </c>
    </row>
    <row r="729" spans="1:10" x14ac:dyDescent="0.2">
      <c r="A729" s="213">
        <v>42502</v>
      </c>
      <c r="B729" s="20" t="s">
        <v>127</v>
      </c>
      <c r="C729" s="130"/>
      <c r="D729" s="60">
        <v>376270713997</v>
      </c>
      <c r="E729" s="113">
        <v>351215</v>
      </c>
      <c r="F729" s="121"/>
      <c r="G729" s="122">
        <f>24.2+69.8</f>
        <v>94</v>
      </c>
      <c r="H729" s="134" t="s">
        <v>938</v>
      </c>
      <c r="J729" s="124" t="s">
        <v>305</v>
      </c>
    </row>
    <row r="730" spans="1:10" x14ac:dyDescent="0.2">
      <c r="A730" s="213">
        <v>42502</v>
      </c>
      <c r="B730" s="20" t="s">
        <v>127</v>
      </c>
      <c r="C730" s="130"/>
      <c r="D730" s="60">
        <v>376270713997</v>
      </c>
      <c r="E730" s="113">
        <v>351215</v>
      </c>
      <c r="F730" s="121"/>
      <c r="G730" s="122">
        <f>29.43+48.68</f>
        <v>78.11</v>
      </c>
      <c r="H730" s="134" t="s">
        <v>939</v>
      </c>
      <c r="J730" s="124" t="s">
        <v>305</v>
      </c>
    </row>
    <row r="731" spans="1:10" x14ac:dyDescent="0.2">
      <c r="A731" s="213">
        <v>42502</v>
      </c>
      <c r="B731" s="20" t="s">
        <v>127</v>
      </c>
      <c r="C731" s="130"/>
      <c r="D731" s="60">
        <v>376270713997</v>
      </c>
      <c r="E731" s="113">
        <v>351215</v>
      </c>
      <c r="F731" s="121"/>
      <c r="G731" s="122">
        <f>24.32+48.68</f>
        <v>73</v>
      </c>
      <c r="H731" s="134" t="s">
        <v>940</v>
      </c>
      <c r="J731" s="124" t="s">
        <v>305</v>
      </c>
    </row>
    <row r="732" spans="1:10" x14ac:dyDescent="0.2">
      <c r="A732" s="213">
        <v>42501</v>
      </c>
      <c r="B732" s="20" t="s">
        <v>127</v>
      </c>
      <c r="C732" s="130"/>
      <c r="D732" s="60">
        <v>376270713997</v>
      </c>
      <c r="E732" s="113">
        <v>351215</v>
      </c>
      <c r="F732" s="121"/>
      <c r="G732" s="122">
        <f>37.32+86.8</f>
        <v>124.12</v>
      </c>
      <c r="H732" s="134" t="s">
        <v>941</v>
      </c>
      <c r="J732" s="124" t="s">
        <v>305</v>
      </c>
    </row>
    <row r="733" spans="1:10" x14ac:dyDescent="0.2">
      <c r="A733" s="213">
        <v>42501</v>
      </c>
      <c r="B733" s="20" t="s">
        <v>127</v>
      </c>
      <c r="C733" s="130"/>
      <c r="D733" s="60">
        <v>376270713997</v>
      </c>
      <c r="E733" s="113">
        <v>351215</v>
      </c>
      <c r="F733" s="121"/>
      <c r="G733" s="122">
        <f>71.16+125.84</f>
        <v>197</v>
      </c>
      <c r="H733" s="134" t="s">
        <v>942</v>
      </c>
      <c r="J733" s="124" t="s">
        <v>305</v>
      </c>
    </row>
    <row r="734" spans="1:10" x14ac:dyDescent="0.2">
      <c r="A734" s="213">
        <v>42501</v>
      </c>
      <c r="B734" s="20" t="s">
        <v>127</v>
      </c>
      <c r="C734" s="130"/>
      <c r="D734" s="60">
        <v>376270713997</v>
      </c>
      <c r="E734" s="113">
        <v>351215</v>
      </c>
      <c r="F734" s="121"/>
      <c r="G734" s="122">
        <f>29.2+61.8</f>
        <v>91</v>
      </c>
      <c r="H734" s="134" t="s">
        <v>943</v>
      </c>
      <c r="J734" s="124" t="s">
        <v>305</v>
      </c>
    </row>
    <row r="735" spans="1:10" x14ac:dyDescent="0.2">
      <c r="A735" s="213">
        <v>42501</v>
      </c>
      <c r="B735" s="20" t="s">
        <v>127</v>
      </c>
      <c r="C735" s="130"/>
      <c r="D735" s="60">
        <v>376270713997</v>
      </c>
      <c r="E735" s="113">
        <v>351215</v>
      </c>
      <c r="F735" s="121"/>
      <c r="G735" s="122">
        <f>14.28+37.67</f>
        <v>51.95</v>
      </c>
      <c r="H735" s="134" t="s">
        <v>944</v>
      </c>
      <c r="J735" s="124" t="s">
        <v>305</v>
      </c>
    </row>
    <row r="736" spans="1:10" x14ac:dyDescent="0.2">
      <c r="A736" s="213">
        <v>42501</v>
      </c>
      <c r="B736" s="20" t="s">
        <v>127</v>
      </c>
      <c r="C736" s="130"/>
      <c r="D736" s="60">
        <v>376270713997</v>
      </c>
      <c r="E736" s="113">
        <v>351215</v>
      </c>
      <c r="F736" s="121"/>
      <c r="G736" s="122">
        <f>32.38+60.9</f>
        <v>93.28</v>
      </c>
      <c r="H736" s="134" t="s">
        <v>945</v>
      </c>
      <c r="J736" s="124" t="s">
        <v>305</v>
      </c>
    </row>
    <row r="737" spans="1:10" x14ac:dyDescent="0.2">
      <c r="A737" s="213">
        <v>42499</v>
      </c>
      <c r="B737" s="20" t="s">
        <v>127</v>
      </c>
      <c r="C737" s="130"/>
      <c r="D737" s="60">
        <v>376270713997</v>
      </c>
      <c r="E737" s="113">
        <v>351215</v>
      </c>
      <c r="F737" s="121"/>
      <c r="G737" s="122">
        <f>47.79+84.59</f>
        <v>132.38</v>
      </c>
      <c r="H737" s="134" t="s">
        <v>946</v>
      </c>
      <c r="J737" s="124" t="s">
        <v>305</v>
      </c>
    </row>
    <row r="738" spans="1:10" x14ac:dyDescent="0.2">
      <c r="A738" s="213">
        <v>42499</v>
      </c>
      <c r="B738" s="20" t="s">
        <v>127</v>
      </c>
      <c r="C738" s="130"/>
      <c r="D738" s="60">
        <v>376270713997</v>
      </c>
      <c r="E738" s="113">
        <v>351215</v>
      </c>
      <c r="F738" s="121"/>
      <c r="G738" s="122">
        <f>24.2+69.8</f>
        <v>94</v>
      </c>
      <c r="H738" s="134" t="s">
        <v>947</v>
      </c>
      <c r="J738" s="124" t="s">
        <v>305</v>
      </c>
    </row>
    <row r="739" spans="1:10" x14ac:dyDescent="0.2">
      <c r="A739" s="213">
        <v>42499</v>
      </c>
      <c r="B739" s="20" t="s">
        <v>127</v>
      </c>
      <c r="C739" s="130"/>
      <c r="D739" s="60">
        <v>376270713997</v>
      </c>
      <c r="E739" s="113">
        <v>351215</v>
      </c>
      <c r="F739" s="121"/>
      <c r="G739" s="122">
        <f>30.78+69.8</f>
        <v>100.58</v>
      </c>
      <c r="H739" s="134" t="s">
        <v>948</v>
      </c>
      <c r="J739" s="124" t="s">
        <v>305</v>
      </c>
    </row>
    <row r="740" spans="1:10" x14ac:dyDescent="0.2">
      <c r="A740" s="213">
        <v>42499</v>
      </c>
      <c r="B740" s="20" t="s">
        <v>127</v>
      </c>
      <c r="C740" s="130"/>
      <c r="D740" s="60">
        <v>376270713997</v>
      </c>
      <c r="E740" s="113">
        <v>351215</v>
      </c>
      <c r="F740" s="121"/>
      <c r="G740" s="122">
        <f>30.97+54.85</f>
        <v>85.82</v>
      </c>
      <c r="H740" s="134" t="s">
        <v>949</v>
      </c>
      <c r="J740" s="124" t="s">
        <v>305</v>
      </c>
    </row>
    <row r="741" spans="1:10" x14ac:dyDescent="0.2">
      <c r="A741" s="213">
        <v>42499</v>
      </c>
      <c r="B741" s="20" t="s">
        <v>127</v>
      </c>
      <c r="C741" s="130"/>
      <c r="D741" s="60">
        <v>376270713997</v>
      </c>
      <c r="E741" s="113">
        <v>351215</v>
      </c>
      <c r="F741" s="121"/>
      <c r="G741" s="122">
        <f>31.23+95.66</f>
        <v>126.89</v>
      </c>
      <c r="H741" s="134" t="s">
        <v>950</v>
      </c>
      <c r="J741" s="124" t="s">
        <v>305</v>
      </c>
    </row>
    <row r="742" spans="1:10" x14ac:dyDescent="0.2">
      <c r="A742" s="213">
        <v>42501</v>
      </c>
      <c r="B742" s="20" t="s">
        <v>127</v>
      </c>
      <c r="C742" s="130"/>
      <c r="D742" s="60">
        <v>376266954993</v>
      </c>
      <c r="E742" s="113">
        <v>350536</v>
      </c>
      <c r="F742" s="121"/>
      <c r="G742" s="122">
        <v>55.52</v>
      </c>
      <c r="H742" s="134" t="s">
        <v>951</v>
      </c>
      <c r="J742" s="124" t="s">
        <v>305</v>
      </c>
    </row>
    <row r="743" spans="1:10" s="203" customFormat="1" x14ac:dyDescent="0.2">
      <c r="A743" s="215">
        <v>42499</v>
      </c>
      <c r="B743" s="216" t="s">
        <v>127</v>
      </c>
      <c r="C743" s="203" t="s">
        <v>151</v>
      </c>
      <c r="D743" s="59">
        <v>376216686992</v>
      </c>
      <c r="E743" s="68">
        <v>217518</v>
      </c>
      <c r="F743" s="217"/>
      <c r="G743" s="218">
        <f>9.36+27.54</f>
        <v>36.9</v>
      </c>
      <c r="H743" s="223" t="s">
        <v>952</v>
      </c>
      <c r="J743" s="219" t="s">
        <v>246</v>
      </c>
    </row>
    <row r="744" spans="1:10" s="203" customFormat="1" x14ac:dyDescent="0.2">
      <c r="A744" s="215">
        <v>42499</v>
      </c>
      <c r="B744" s="216" t="s">
        <v>127</v>
      </c>
      <c r="C744" s="203" t="s">
        <v>151</v>
      </c>
      <c r="D744" s="59">
        <v>376216686992</v>
      </c>
      <c r="E744" s="68">
        <v>217518</v>
      </c>
      <c r="F744" s="217"/>
      <c r="G744" s="218">
        <f>22.09+52.58</f>
        <v>74.67</v>
      </c>
      <c r="H744" s="223" t="s">
        <v>953</v>
      </c>
      <c r="J744" s="219" t="s">
        <v>246</v>
      </c>
    </row>
    <row r="745" spans="1:10" s="203" customFormat="1" x14ac:dyDescent="0.2">
      <c r="A745" s="215">
        <v>42499</v>
      </c>
      <c r="B745" s="216" t="s">
        <v>127</v>
      </c>
      <c r="C745" s="203" t="s">
        <v>151</v>
      </c>
      <c r="D745" s="59">
        <v>376216686992</v>
      </c>
      <c r="E745" s="68">
        <v>217518</v>
      </c>
      <c r="F745" s="217"/>
      <c r="G745" s="218">
        <f>51.21+153.5</f>
        <v>204.71</v>
      </c>
      <c r="H745" s="223" t="s">
        <v>954</v>
      </c>
      <c r="J745" s="219" t="s">
        <v>246</v>
      </c>
    </row>
    <row r="746" spans="1:10" s="203" customFormat="1" x14ac:dyDescent="0.2">
      <c r="A746" s="215">
        <v>42499</v>
      </c>
      <c r="B746" s="216" t="s">
        <v>127</v>
      </c>
      <c r="C746" s="203" t="s">
        <v>151</v>
      </c>
      <c r="D746" s="59">
        <v>376235651993</v>
      </c>
      <c r="E746" s="68">
        <v>226401</v>
      </c>
      <c r="F746" s="217"/>
      <c r="G746" s="218">
        <f>19.46+47.5</f>
        <v>66.960000000000008</v>
      </c>
      <c r="H746" s="223" t="s">
        <v>955</v>
      </c>
      <c r="J746" s="219" t="s">
        <v>246</v>
      </c>
    </row>
    <row r="747" spans="1:10" s="203" customFormat="1" x14ac:dyDescent="0.2">
      <c r="A747" s="215">
        <v>42499</v>
      </c>
      <c r="B747" s="216" t="s">
        <v>127</v>
      </c>
      <c r="C747" s="203" t="s">
        <v>151</v>
      </c>
      <c r="D747" s="59">
        <v>376235651993</v>
      </c>
      <c r="E747" s="68">
        <v>226401</v>
      </c>
      <c r="F747" s="217"/>
      <c r="G747" s="218">
        <f>10+58.95</f>
        <v>68.95</v>
      </c>
      <c r="H747" s="223" t="s">
        <v>956</v>
      </c>
      <c r="J747" s="219" t="s">
        <v>246</v>
      </c>
    </row>
    <row r="748" spans="1:10" s="203" customFormat="1" x14ac:dyDescent="0.2">
      <c r="A748" s="215">
        <v>42499</v>
      </c>
      <c r="B748" s="216" t="s">
        <v>127</v>
      </c>
      <c r="C748" s="203" t="s">
        <v>151</v>
      </c>
      <c r="D748" s="59">
        <v>376235651993</v>
      </c>
      <c r="E748" s="68">
        <v>226401</v>
      </c>
      <c r="F748" s="217"/>
      <c r="G748" s="218">
        <f>10+50.9</f>
        <v>60.9</v>
      </c>
      <c r="H748" s="223" t="s">
        <v>957</v>
      </c>
      <c r="J748" s="219" t="s">
        <v>246</v>
      </c>
    </row>
    <row r="749" spans="1:10" s="203" customFormat="1" x14ac:dyDescent="0.2">
      <c r="A749" s="215">
        <v>42499</v>
      </c>
      <c r="B749" s="216" t="s">
        <v>127</v>
      </c>
      <c r="C749" s="203" t="s">
        <v>151</v>
      </c>
      <c r="D749" s="59">
        <v>376235651993</v>
      </c>
      <c r="E749" s="68">
        <v>226401</v>
      </c>
      <c r="F749" s="217"/>
      <c r="G749" s="218">
        <f>4.09+52.82</f>
        <v>56.91</v>
      </c>
      <c r="H749" s="223" t="s">
        <v>958</v>
      </c>
      <c r="J749" s="219" t="s">
        <v>246</v>
      </c>
    </row>
    <row r="750" spans="1:10" s="203" customFormat="1" x14ac:dyDescent="0.2">
      <c r="A750" s="215">
        <v>42499</v>
      </c>
      <c r="B750" s="216" t="s">
        <v>127</v>
      </c>
      <c r="C750" s="203" t="s">
        <v>151</v>
      </c>
      <c r="D750" s="59">
        <v>376235651993</v>
      </c>
      <c r="E750" s="68">
        <v>226401</v>
      </c>
      <c r="F750" s="217"/>
      <c r="G750" s="218">
        <f>26.48+123.42</f>
        <v>149.9</v>
      </c>
      <c r="H750" s="223" t="s">
        <v>959</v>
      </c>
      <c r="J750" s="219" t="s">
        <v>246</v>
      </c>
    </row>
    <row r="751" spans="1:10" s="203" customFormat="1" x14ac:dyDescent="0.2">
      <c r="A751" s="215">
        <v>42499</v>
      </c>
      <c r="B751" s="216" t="s">
        <v>127</v>
      </c>
      <c r="C751" s="203" t="s">
        <v>151</v>
      </c>
      <c r="D751" s="59">
        <v>376235651993</v>
      </c>
      <c r="E751" s="68">
        <v>226401</v>
      </c>
      <c r="F751" s="217"/>
      <c r="G751" s="218">
        <f>5.51+61.6</f>
        <v>67.11</v>
      </c>
      <c r="H751" s="223" t="s">
        <v>960</v>
      </c>
      <c r="J751" s="219" t="s">
        <v>246</v>
      </c>
    </row>
    <row r="752" spans="1:10" s="203" customFormat="1" x14ac:dyDescent="0.2">
      <c r="A752" s="215">
        <v>42499</v>
      </c>
      <c r="B752" s="216" t="s">
        <v>127</v>
      </c>
      <c r="C752" s="203" t="s">
        <v>151</v>
      </c>
      <c r="D752" s="59">
        <v>376235651993</v>
      </c>
      <c r="E752" s="68">
        <v>226401</v>
      </c>
      <c r="F752" s="217"/>
      <c r="G752" s="218">
        <f>5.14+57.81</f>
        <v>62.95</v>
      </c>
      <c r="H752" s="223" t="s">
        <v>961</v>
      </c>
      <c r="J752" s="219" t="s">
        <v>246</v>
      </c>
    </row>
    <row r="753" spans="1:14" s="203" customFormat="1" x14ac:dyDescent="0.2">
      <c r="A753" s="215">
        <v>42500</v>
      </c>
      <c r="B753" s="216" t="s">
        <v>127</v>
      </c>
      <c r="C753" s="203" t="s">
        <v>151</v>
      </c>
      <c r="D753" s="59">
        <v>376235651993</v>
      </c>
      <c r="E753" s="68">
        <v>226401</v>
      </c>
      <c r="F753" s="217"/>
      <c r="G753" s="218">
        <f>3.93+28.33</f>
        <v>32.26</v>
      </c>
      <c r="H753" s="223" t="s">
        <v>962</v>
      </c>
      <c r="J753" s="219" t="s">
        <v>246</v>
      </c>
    </row>
    <row r="754" spans="1:14" s="203" customFormat="1" x14ac:dyDescent="0.2">
      <c r="A754" s="215">
        <v>42500</v>
      </c>
      <c r="B754" s="216" t="s">
        <v>127</v>
      </c>
      <c r="C754" s="203" t="s">
        <v>151</v>
      </c>
      <c r="D754" s="59">
        <v>376235651993</v>
      </c>
      <c r="E754" s="68">
        <v>226401</v>
      </c>
      <c r="F754" s="217"/>
      <c r="G754" s="218">
        <f>18.46+66.49</f>
        <v>84.949999999999989</v>
      </c>
      <c r="H754" s="223" t="s">
        <v>963</v>
      </c>
      <c r="J754" s="219" t="s">
        <v>246</v>
      </c>
    </row>
    <row r="755" spans="1:14" s="203" customFormat="1" x14ac:dyDescent="0.2">
      <c r="A755" s="215">
        <v>42500</v>
      </c>
      <c r="B755" s="216" t="s">
        <v>127</v>
      </c>
      <c r="C755" s="203" t="s">
        <v>151</v>
      </c>
      <c r="D755" s="59">
        <v>376235651993</v>
      </c>
      <c r="E755" s="68">
        <v>226401</v>
      </c>
      <c r="F755" s="217"/>
      <c r="G755" s="218">
        <f>12.61+57.34</f>
        <v>69.95</v>
      </c>
      <c r="H755" s="223" t="s">
        <v>964</v>
      </c>
      <c r="J755" s="219" t="s">
        <v>246</v>
      </c>
    </row>
    <row r="756" spans="1:14" s="203" customFormat="1" x14ac:dyDescent="0.2">
      <c r="A756" s="215">
        <v>42502</v>
      </c>
      <c r="B756" s="216" t="s">
        <v>127</v>
      </c>
      <c r="C756" s="203" t="s">
        <v>151</v>
      </c>
      <c r="D756" s="59">
        <v>376235651993</v>
      </c>
      <c r="E756" s="68">
        <v>226401</v>
      </c>
      <c r="F756" s="217"/>
      <c r="G756" s="218">
        <f>4.24+57.66</f>
        <v>61.9</v>
      </c>
      <c r="H756" s="223" t="s">
        <v>965</v>
      </c>
      <c r="J756" s="219" t="s">
        <v>246</v>
      </c>
    </row>
    <row r="757" spans="1:14" s="203" customFormat="1" x14ac:dyDescent="0.2">
      <c r="A757" s="215">
        <v>42500</v>
      </c>
      <c r="B757" s="216" t="s">
        <v>127</v>
      </c>
      <c r="C757" s="203" t="s">
        <v>151</v>
      </c>
      <c r="D757" s="59">
        <v>376235651993</v>
      </c>
      <c r="E757" s="68">
        <v>226401</v>
      </c>
      <c r="F757" s="217"/>
      <c r="G757" s="218">
        <f>47.65+15.25</f>
        <v>62.9</v>
      </c>
      <c r="H757" s="223" t="s">
        <v>966</v>
      </c>
      <c r="J757" s="219" t="s">
        <v>246</v>
      </c>
    </row>
    <row r="758" spans="1:14" s="150" customFormat="1" x14ac:dyDescent="0.2">
      <c r="A758" s="102" t="s">
        <v>1942</v>
      </c>
      <c r="B758" s="14" t="s">
        <v>0</v>
      </c>
      <c r="C758" s="149"/>
      <c r="D758" s="152">
        <v>376270048998</v>
      </c>
      <c r="E758" s="247">
        <v>351070</v>
      </c>
      <c r="F758" s="151" t="s">
        <v>967</v>
      </c>
      <c r="G758" s="135">
        <v>104.95</v>
      </c>
      <c r="H758" s="139"/>
      <c r="J758" s="123" t="s">
        <v>968</v>
      </c>
    </row>
    <row r="759" spans="1:14" x14ac:dyDescent="0.2">
      <c r="A759" s="102" t="s">
        <v>1942</v>
      </c>
      <c r="B759" s="20" t="s">
        <v>0</v>
      </c>
      <c r="C759" s="130"/>
      <c r="D759" s="60">
        <v>376270048998</v>
      </c>
      <c r="E759" s="113">
        <v>351070</v>
      </c>
      <c r="F759" s="120" t="s">
        <v>969</v>
      </c>
      <c r="G759" s="122">
        <v>54.95</v>
      </c>
      <c r="H759" s="131"/>
      <c r="J759" s="123" t="s">
        <v>968</v>
      </c>
    </row>
    <row r="760" spans="1:14" x14ac:dyDescent="0.2">
      <c r="A760" s="102" t="s">
        <v>1942</v>
      </c>
      <c r="B760" s="20" t="s">
        <v>0</v>
      </c>
      <c r="C760" s="130"/>
      <c r="D760" s="60">
        <v>376264933999</v>
      </c>
      <c r="E760" s="113">
        <v>350386</v>
      </c>
      <c r="F760" s="121"/>
      <c r="G760" s="122">
        <v>144.35</v>
      </c>
      <c r="H760" s="131"/>
      <c r="J760" s="123" t="s">
        <v>44</v>
      </c>
    </row>
    <row r="761" spans="1:14" x14ac:dyDescent="0.2">
      <c r="A761" s="102" t="s">
        <v>1942</v>
      </c>
      <c r="B761" s="20" t="s">
        <v>0</v>
      </c>
      <c r="C761" s="130"/>
      <c r="D761" s="60">
        <v>376265349997</v>
      </c>
      <c r="E761" s="113">
        <v>350427</v>
      </c>
      <c r="F761" s="120" t="s">
        <v>970</v>
      </c>
      <c r="G761" s="122">
        <v>54.95</v>
      </c>
      <c r="H761" s="131"/>
      <c r="J761" s="123" t="s">
        <v>968</v>
      </c>
    </row>
    <row r="762" spans="1:14" x14ac:dyDescent="0.2">
      <c r="A762" s="102" t="s">
        <v>1942</v>
      </c>
      <c r="B762" s="20" t="s">
        <v>0</v>
      </c>
      <c r="C762" s="130"/>
      <c r="D762" s="60">
        <v>376263109997</v>
      </c>
      <c r="E762" s="113">
        <v>350305</v>
      </c>
      <c r="F762" s="120" t="s">
        <v>971</v>
      </c>
      <c r="G762" s="122">
        <v>104.95</v>
      </c>
      <c r="H762" s="131"/>
      <c r="J762" s="123" t="s">
        <v>482</v>
      </c>
    </row>
    <row r="763" spans="1:14" x14ac:dyDescent="0.2">
      <c r="A763" s="102" t="s">
        <v>1942</v>
      </c>
      <c r="B763" s="20" t="s">
        <v>0</v>
      </c>
      <c r="C763" s="130"/>
      <c r="D763" s="60">
        <v>376263109997</v>
      </c>
      <c r="E763" s="113">
        <v>350305</v>
      </c>
      <c r="F763" s="120" t="s">
        <v>972</v>
      </c>
      <c r="G763" s="122">
        <v>104.95</v>
      </c>
      <c r="H763" s="131"/>
      <c r="J763" s="123" t="s">
        <v>482</v>
      </c>
    </row>
    <row r="764" spans="1:14" x14ac:dyDescent="0.2">
      <c r="A764" s="213">
        <v>42508</v>
      </c>
      <c r="B764" s="20" t="s">
        <v>127</v>
      </c>
      <c r="C764" s="130"/>
      <c r="D764" s="60">
        <v>376263652996</v>
      </c>
      <c r="E764" s="113">
        <v>350330</v>
      </c>
      <c r="F764" s="121"/>
      <c r="G764" s="122">
        <v>106.95</v>
      </c>
      <c r="H764" s="131" t="s">
        <v>973</v>
      </c>
      <c r="J764" s="117" t="str">
        <f t="array" ref="J764:N764">[1]!'!rptFundingDiscrepancies!R508C9:R508C13'</f>
        <v>Voided $106.95, Rec'vd $77.01, Fin Adj $29.94</v>
      </c>
      <c r="K764" s="117">
        <v>0</v>
      </c>
      <c r="L764" s="117">
        <v>0</v>
      </c>
      <c r="M764" s="117">
        <v>0</v>
      </c>
      <c r="N764" s="117">
        <v>0</v>
      </c>
    </row>
    <row r="765" spans="1:14" x14ac:dyDescent="0.2">
      <c r="A765" s="213">
        <v>42507</v>
      </c>
      <c r="B765" s="20" t="s">
        <v>127</v>
      </c>
      <c r="C765" s="130"/>
      <c r="D765" s="60">
        <v>376259904997</v>
      </c>
      <c r="E765" s="113">
        <v>350202</v>
      </c>
      <c r="F765" s="121"/>
      <c r="G765" s="122">
        <f>16.67+66.69</f>
        <v>83.36</v>
      </c>
      <c r="H765" s="131" t="s">
        <v>974</v>
      </c>
      <c r="J765" s="153" t="s">
        <v>975</v>
      </c>
    </row>
    <row r="766" spans="1:14" x14ac:dyDescent="0.2">
      <c r="A766" s="213">
        <v>42508</v>
      </c>
      <c r="B766" s="20" t="s">
        <v>127</v>
      </c>
      <c r="C766" s="130"/>
      <c r="D766" s="60">
        <v>376259904997</v>
      </c>
      <c r="E766" s="113">
        <v>350202</v>
      </c>
      <c r="F766" s="121"/>
      <c r="G766" s="122">
        <f>23.09+93.44</f>
        <v>116.53</v>
      </c>
      <c r="H766" s="134" t="s">
        <v>976</v>
      </c>
      <c r="J766" s="153" t="s">
        <v>975</v>
      </c>
    </row>
    <row r="767" spans="1:14" x14ac:dyDescent="0.2">
      <c r="A767" s="213">
        <v>42508</v>
      </c>
      <c r="B767" s="20" t="s">
        <v>127</v>
      </c>
      <c r="C767" s="130"/>
      <c r="D767" s="60">
        <v>376259904997</v>
      </c>
      <c r="E767" s="113">
        <v>350202</v>
      </c>
      <c r="F767" s="121"/>
      <c r="G767" s="122">
        <f>17.15+53.42</f>
        <v>70.569999999999993</v>
      </c>
      <c r="H767" s="134" t="s">
        <v>977</v>
      </c>
      <c r="J767" s="153" t="s">
        <v>975</v>
      </c>
    </row>
    <row r="768" spans="1:14" x14ac:dyDescent="0.2">
      <c r="A768" s="213">
        <v>42509</v>
      </c>
      <c r="B768" s="20" t="s">
        <v>127</v>
      </c>
      <c r="C768" s="130"/>
      <c r="D768" s="60">
        <v>376259904997</v>
      </c>
      <c r="E768" s="113">
        <v>350202</v>
      </c>
      <c r="F768" s="121"/>
      <c r="G768" s="122">
        <f>17.06+55.65</f>
        <v>72.709999999999994</v>
      </c>
      <c r="H768" s="134" t="s">
        <v>978</v>
      </c>
      <c r="J768" s="153" t="s">
        <v>975</v>
      </c>
    </row>
    <row r="769" spans="1:10" x14ac:dyDescent="0.2">
      <c r="A769" s="213">
        <v>42508</v>
      </c>
      <c r="B769" s="20" t="s">
        <v>127</v>
      </c>
      <c r="C769" s="130"/>
      <c r="D769" s="60">
        <v>376269450999</v>
      </c>
      <c r="E769" s="113">
        <v>350960</v>
      </c>
      <c r="F769" s="121"/>
      <c r="G769" s="122">
        <f>16.31+60.59</f>
        <v>76.900000000000006</v>
      </c>
      <c r="H769" s="134" t="s">
        <v>979</v>
      </c>
      <c r="J769" s="124" t="s">
        <v>435</v>
      </c>
    </row>
    <row r="770" spans="1:10" x14ac:dyDescent="0.2">
      <c r="A770" s="213">
        <v>42509</v>
      </c>
      <c r="B770" s="20" t="s">
        <v>127</v>
      </c>
      <c r="C770" s="130"/>
      <c r="D770" s="60">
        <v>376269450999</v>
      </c>
      <c r="E770" s="113">
        <v>350960</v>
      </c>
      <c r="F770" s="121"/>
      <c r="G770" s="122">
        <f>13.69+284.26</f>
        <v>297.95</v>
      </c>
      <c r="H770" s="134" t="s">
        <v>980</v>
      </c>
      <c r="J770" s="124" t="s">
        <v>435</v>
      </c>
    </row>
    <row r="771" spans="1:10" x14ac:dyDescent="0.2">
      <c r="A771" s="213">
        <v>42510</v>
      </c>
      <c r="B771" s="20" t="s">
        <v>127</v>
      </c>
      <c r="C771" s="130"/>
      <c r="D771" s="60">
        <v>376270713997</v>
      </c>
      <c r="E771" s="113">
        <v>351215</v>
      </c>
      <c r="F771" s="121"/>
      <c r="G771" s="122">
        <f>44.72+64.99</f>
        <v>109.71</v>
      </c>
      <c r="H771" s="134" t="s">
        <v>981</v>
      </c>
      <c r="J771" s="124" t="s">
        <v>435</v>
      </c>
    </row>
    <row r="772" spans="1:10" x14ac:dyDescent="0.2">
      <c r="A772" s="213">
        <v>42510</v>
      </c>
      <c r="B772" s="20" t="s">
        <v>127</v>
      </c>
      <c r="C772" s="130"/>
      <c r="D772" s="60">
        <v>376270713997</v>
      </c>
      <c r="E772" s="113">
        <v>351215</v>
      </c>
      <c r="G772" s="122">
        <f>86.28+131.44</f>
        <v>217.72</v>
      </c>
      <c r="H772" s="134" t="s">
        <v>982</v>
      </c>
      <c r="J772" s="124" t="s">
        <v>435</v>
      </c>
    </row>
    <row r="773" spans="1:10" x14ac:dyDescent="0.2">
      <c r="A773" s="213">
        <v>42510</v>
      </c>
      <c r="B773" s="20" t="s">
        <v>127</v>
      </c>
      <c r="C773" s="130"/>
      <c r="D773" s="60">
        <v>376270713997</v>
      </c>
      <c r="E773" s="113">
        <v>351215</v>
      </c>
      <c r="G773" s="122">
        <f>24.2+69.8</f>
        <v>94</v>
      </c>
      <c r="H773" s="134" t="s">
        <v>983</v>
      </c>
      <c r="J773" s="124" t="s">
        <v>435</v>
      </c>
    </row>
    <row r="774" spans="1:10" x14ac:dyDescent="0.2">
      <c r="A774" s="213">
        <v>42510</v>
      </c>
      <c r="B774" s="20" t="s">
        <v>127</v>
      </c>
      <c r="C774" s="130"/>
      <c r="D774" s="60">
        <v>376270713997</v>
      </c>
      <c r="E774" s="113">
        <v>351215</v>
      </c>
      <c r="G774" s="122">
        <f>62.06+119.2</f>
        <v>181.26</v>
      </c>
      <c r="H774" s="134" t="s">
        <v>984</v>
      </c>
      <c r="J774" s="124" t="s">
        <v>435</v>
      </c>
    </row>
    <row r="775" spans="1:10" x14ac:dyDescent="0.2">
      <c r="A775" s="213">
        <v>42510</v>
      </c>
      <c r="B775" s="20" t="s">
        <v>127</v>
      </c>
      <c r="C775" s="130"/>
      <c r="D775" s="60">
        <v>376270713997</v>
      </c>
      <c r="E775" s="113">
        <v>351215</v>
      </c>
      <c r="G775" s="122">
        <f>25.1+75.18</f>
        <v>100.28</v>
      </c>
      <c r="H775" s="134" t="s">
        <v>985</v>
      </c>
      <c r="J775" s="124" t="s">
        <v>435</v>
      </c>
    </row>
    <row r="776" spans="1:10" x14ac:dyDescent="0.2">
      <c r="A776" s="213">
        <v>42510</v>
      </c>
      <c r="B776" s="20" t="s">
        <v>127</v>
      </c>
      <c r="C776" s="130"/>
      <c r="D776" s="60">
        <v>376270713997</v>
      </c>
      <c r="E776" s="113">
        <v>351215</v>
      </c>
      <c r="G776" s="122">
        <f>35.47+82.53</f>
        <v>118</v>
      </c>
      <c r="H776" s="134" t="s">
        <v>986</v>
      </c>
      <c r="J776" s="124" t="s">
        <v>435</v>
      </c>
    </row>
    <row r="777" spans="1:10" x14ac:dyDescent="0.2">
      <c r="A777" s="213">
        <v>42510</v>
      </c>
      <c r="B777" s="20" t="s">
        <v>127</v>
      </c>
      <c r="C777" s="130"/>
      <c r="D777" s="60">
        <v>376270713997</v>
      </c>
      <c r="E777" s="113">
        <v>351215</v>
      </c>
      <c r="G777" s="122">
        <f>29.52+69.5</f>
        <v>99.02</v>
      </c>
      <c r="H777" s="134" t="s">
        <v>987</v>
      </c>
      <c r="J777" s="124" t="s">
        <v>435</v>
      </c>
    </row>
    <row r="778" spans="1:10" x14ac:dyDescent="0.2">
      <c r="A778" s="213">
        <v>42509</v>
      </c>
      <c r="B778" s="20" t="s">
        <v>127</v>
      </c>
      <c r="C778" s="130"/>
      <c r="D778" s="60">
        <v>376270713997</v>
      </c>
      <c r="E778" s="113">
        <v>351215</v>
      </c>
      <c r="G778" s="122">
        <f>33.38+62.1</f>
        <v>95.48</v>
      </c>
      <c r="H778" s="134" t="s">
        <v>988</v>
      </c>
      <c r="J778" s="124" t="s">
        <v>435</v>
      </c>
    </row>
    <row r="779" spans="1:10" x14ac:dyDescent="0.2">
      <c r="A779" s="213">
        <v>42509</v>
      </c>
      <c r="B779" s="20" t="s">
        <v>127</v>
      </c>
      <c r="C779" s="130"/>
      <c r="D779" s="60">
        <v>376270713997</v>
      </c>
      <c r="E779" s="113">
        <v>351215</v>
      </c>
      <c r="G779" s="122">
        <f>37.74+89.54</f>
        <v>127.28</v>
      </c>
      <c r="H779" s="134" t="s">
        <v>989</v>
      </c>
      <c r="J779" s="124" t="s">
        <v>435</v>
      </c>
    </row>
    <row r="780" spans="1:10" x14ac:dyDescent="0.2">
      <c r="A780" s="213">
        <v>42509</v>
      </c>
      <c r="B780" s="20" t="s">
        <v>127</v>
      </c>
      <c r="C780" s="130"/>
      <c r="D780" s="60">
        <v>376270713997</v>
      </c>
      <c r="E780" s="113">
        <v>351215</v>
      </c>
      <c r="G780" s="122">
        <f>23.82+39.7</f>
        <v>63.52</v>
      </c>
      <c r="H780" s="134" t="s">
        <v>990</v>
      </c>
      <c r="J780" s="124" t="s">
        <v>435</v>
      </c>
    </row>
    <row r="781" spans="1:10" x14ac:dyDescent="0.2">
      <c r="A781" s="213">
        <v>42509</v>
      </c>
      <c r="B781" s="20" t="s">
        <v>127</v>
      </c>
      <c r="C781" s="130"/>
      <c r="D781" s="60">
        <v>376270713997</v>
      </c>
      <c r="E781" s="113">
        <v>351215</v>
      </c>
      <c r="G781" s="122">
        <f>30.08+59.8</f>
        <v>89.88</v>
      </c>
      <c r="H781" s="134" t="s">
        <v>991</v>
      </c>
      <c r="J781" s="124" t="s">
        <v>435</v>
      </c>
    </row>
    <row r="782" spans="1:10" x14ac:dyDescent="0.2">
      <c r="A782" s="213">
        <v>42509</v>
      </c>
      <c r="B782" s="20" t="s">
        <v>127</v>
      </c>
      <c r="C782" s="130"/>
      <c r="D782" s="60">
        <v>376270713997</v>
      </c>
      <c r="E782" s="113">
        <v>351215</v>
      </c>
      <c r="G782" s="122">
        <f>42.9+70.73</f>
        <v>113.63</v>
      </c>
      <c r="H782" s="134" t="s">
        <v>992</v>
      </c>
      <c r="J782" s="124" t="s">
        <v>435</v>
      </c>
    </row>
    <row r="783" spans="1:10" x14ac:dyDescent="0.2">
      <c r="A783" s="213">
        <v>42509</v>
      </c>
      <c r="B783" s="20" t="s">
        <v>127</v>
      </c>
      <c r="C783" s="130"/>
      <c r="D783" s="60">
        <v>376270713997</v>
      </c>
      <c r="E783" s="113">
        <v>351215</v>
      </c>
      <c r="G783" s="122">
        <f>11.25+27.2</f>
        <v>38.450000000000003</v>
      </c>
      <c r="H783" s="134" t="s">
        <v>993</v>
      </c>
      <c r="J783" s="124" t="s">
        <v>435</v>
      </c>
    </row>
    <row r="784" spans="1:10" x14ac:dyDescent="0.2">
      <c r="A784" s="213">
        <v>42508</v>
      </c>
      <c r="B784" s="20" t="s">
        <v>127</v>
      </c>
      <c r="C784" s="130"/>
      <c r="D784" s="60">
        <v>376270713997</v>
      </c>
      <c r="E784" s="113">
        <v>351215</v>
      </c>
      <c r="G784" s="122">
        <f>18.26+29.44</f>
        <v>47.7</v>
      </c>
      <c r="H784" s="134" t="s">
        <v>994</v>
      </c>
      <c r="J784" s="124" t="s">
        <v>435</v>
      </c>
    </row>
    <row r="785" spans="1:10" x14ac:dyDescent="0.2">
      <c r="A785" s="213">
        <v>42508</v>
      </c>
      <c r="B785" s="20" t="s">
        <v>127</v>
      </c>
      <c r="C785" s="130"/>
      <c r="D785" s="60">
        <v>376270713997</v>
      </c>
      <c r="E785" s="113">
        <v>351215</v>
      </c>
      <c r="G785" s="122">
        <f>24.2+69.8</f>
        <v>94</v>
      </c>
      <c r="H785" s="134" t="s">
        <v>995</v>
      </c>
      <c r="J785" s="124" t="s">
        <v>435</v>
      </c>
    </row>
    <row r="786" spans="1:10" x14ac:dyDescent="0.2">
      <c r="A786" s="213">
        <v>42508</v>
      </c>
      <c r="B786" s="20" t="s">
        <v>127</v>
      </c>
      <c r="C786" s="130"/>
      <c r="D786" s="60">
        <v>376270713997</v>
      </c>
      <c r="E786" s="113">
        <v>351215</v>
      </c>
      <c r="G786" s="122">
        <f>81.34+106.37</f>
        <v>187.71</v>
      </c>
      <c r="H786" s="134" t="s">
        <v>996</v>
      </c>
      <c r="J786" s="124" t="s">
        <v>435</v>
      </c>
    </row>
    <row r="787" spans="1:10" x14ac:dyDescent="0.2">
      <c r="A787" s="213">
        <v>42507</v>
      </c>
      <c r="B787" s="20" t="s">
        <v>127</v>
      </c>
      <c r="C787" s="130"/>
      <c r="D787" s="60">
        <v>376270713997</v>
      </c>
      <c r="E787" s="113">
        <v>351215</v>
      </c>
      <c r="G787" s="122">
        <f>15.69+69.34</f>
        <v>85.03</v>
      </c>
      <c r="H787" s="134" t="s">
        <v>997</v>
      </c>
      <c r="J787" s="124" t="s">
        <v>435</v>
      </c>
    </row>
    <row r="788" spans="1:10" x14ac:dyDescent="0.2">
      <c r="A788" s="213">
        <v>42507</v>
      </c>
      <c r="B788" s="20" t="s">
        <v>127</v>
      </c>
      <c r="C788" s="130"/>
      <c r="D788" s="60">
        <v>376270713997</v>
      </c>
      <c r="E788" s="113">
        <v>351215</v>
      </c>
      <c r="G788" s="122">
        <f>30.78+69.8</f>
        <v>100.58</v>
      </c>
      <c r="H788" s="134" t="s">
        <v>998</v>
      </c>
      <c r="J788" s="124" t="s">
        <v>435</v>
      </c>
    </row>
    <row r="789" spans="1:10" x14ac:dyDescent="0.2">
      <c r="A789" s="213">
        <v>42507</v>
      </c>
      <c r="B789" s="20" t="s">
        <v>127</v>
      </c>
      <c r="C789" s="130"/>
      <c r="D789" s="60">
        <v>376270713997</v>
      </c>
      <c r="E789" s="113">
        <v>351215</v>
      </c>
      <c r="G789" s="122">
        <f>18.26+34.74</f>
        <v>53</v>
      </c>
      <c r="H789" s="134" t="s">
        <v>999</v>
      </c>
      <c r="J789" s="124" t="s">
        <v>435</v>
      </c>
    </row>
    <row r="790" spans="1:10" x14ac:dyDescent="0.2">
      <c r="A790" s="213">
        <v>42506</v>
      </c>
      <c r="B790" s="20" t="s">
        <v>127</v>
      </c>
      <c r="C790" s="130"/>
      <c r="D790" s="60">
        <v>376270713997</v>
      </c>
      <c r="E790" s="113">
        <v>351215</v>
      </c>
      <c r="G790" s="122">
        <f>60.86+129.6</f>
        <v>190.45999999999998</v>
      </c>
      <c r="H790" s="134" t="s">
        <v>1000</v>
      </c>
      <c r="J790" s="124" t="s">
        <v>435</v>
      </c>
    </row>
    <row r="791" spans="1:10" x14ac:dyDescent="0.2">
      <c r="A791" s="213">
        <v>42506</v>
      </c>
      <c r="B791" s="20" t="s">
        <v>127</v>
      </c>
      <c r="C791" s="130"/>
      <c r="D791" s="60">
        <v>376270713997</v>
      </c>
      <c r="E791" s="113">
        <v>351215</v>
      </c>
      <c r="G791" s="122">
        <f>17.92+37.67</f>
        <v>55.59</v>
      </c>
      <c r="H791" s="134" t="s">
        <v>1001</v>
      </c>
      <c r="J791" s="124" t="s">
        <v>435</v>
      </c>
    </row>
    <row r="792" spans="1:10" x14ac:dyDescent="0.2">
      <c r="A792" s="213">
        <v>42506</v>
      </c>
      <c r="B792" s="20" t="s">
        <v>127</v>
      </c>
      <c r="C792" s="130"/>
      <c r="D792" s="60">
        <v>376270713997</v>
      </c>
      <c r="E792" s="113">
        <v>351215</v>
      </c>
      <c r="G792" s="122">
        <f>30.42+67.58</f>
        <v>98</v>
      </c>
      <c r="H792" s="134" t="s">
        <v>1002</v>
      </c>
      <c r="J792" s="124" t="s">
        <v>435</v>
      </c>
    </row>
    <row r="793" spans="1:10" x14ac:dyDescent="0.2">
      <c r="A793" s="213">
        <v>42506</v>
      </c>
      <c r="B793" s="20" t="s">
        <v>127</v>
      </c>
      <c r="C793" s="130"/>
      <c r="D793" s="60">
        <v>376270713997</v>
      </c>
      <c r="E793" s="113">
        <v>351215</v>
      </c>
      <c r="G793" s="122">
        <f>31.96+69.8</f>
        <v>101.75999999999999</v>
      </c>
      <c r="H793" s="134" t="s">
        <v>1003</v>
      </c>
      <c r="J793" s="124" t="s">
        <v>435</v>
      </c>
    </row>
    <row r="794" spans="1:10" x14ac:dyDescent="0.2">
      <c r="A794" s="213">
        <v>42506</v>
      </c>
      <c r="B794" s="20" t="s">
        <v>127</v>
      </c>
      <c r="C794" s="130"/>
      <c r="D794" s="60">
        <v>376270713997</v>
      </c>
      <c r="E794" s="113">
        <v>351215</v>
      </c>
      <c r="G794" s="122">
        <f>16.11+31.89</f>
        <v>48</v>
      </c>
      <c r="H794" s="134" t="s">
        <v>1004</v>
      </c>
      <c r="J794" s="124" t="s">
        <v>435</v>
      </c>
    </row>
    <row r="795" spans="1:10" x14ac:dyDescent="0.2">
      <c r="A795" s="213">
        <v>42506</v>
      </c>
      <c r="B795" s="20" t="s">
        <v>127</v>
      </c>
      <c r="C795" s="130"/>
      <c r="D795" s="60">
        <v>376270713997</v>
      </c>
      <c r="E795" s="113">
        <v>351215</v>
      </c>
      <c r="G795" s="122">
        <f>49.2+86.48</f>
        <v>135.68</v>
      </c>
      <c r="H795" s="134" t="s">
        <v>1005</v>
      </c>
      <c r="J795" s="124" t="s">
        <v>435</v>
      </c>
    </row>
    <row r="796" spans="1:10" x14ac:dyDescent="0.2">
      <c r="A796" s="213">
        <v>42509</v>
      </c>
      <c r="B796" s="20" t="s">
        <v>127</v>
      </c>
      <c r="C796" s="130"/>
      <c r="D796" s="60">
        <v>376270875994</v>
      </c>
      <c r="E796" s="113">
        <v>351187</v>
      </c>
      <c r="F796" s="121"/>
      <c r="G796" s="122">
        <f>15+164.95</f>
        <v>179.95</v>
      </c>
      <c r="H796" s="134" t="s">
        <v>1006</v>
      </c>
      <c r="J796" s="124" t="s">
        <v>435</v>
      </c>
    </row>
    <row r="797" spans="1:10" x14ac:dyDescent="0.2">
      <c r="A797" s="213">
        <v>42508</v>
      </c>
      <c r="B797" s="20" t="s">
        <v>127</v>
      </c>
      <c r="C797" s="130"/>
      <c r="D797" s="60">
        <v>376270875994</v>
      </c>
      <c r="E797" s="113">
        <v>351187</v>
      </c>
      <c r="F797" s="121"/>
      <c r="G797" s="122">
        <f>113+601.55</f>
        <v>714.55</v>
      </c>
      <c r="H797" s="134" t="s">
        <v>1007</v>
      </c>
      <c r="J797" s="124" t="s">
        <v>435</v>
      </c>
    </row>
    <row r="798" spans="1:10" x14ac:dyDescent="0.2">
      <c r="A798" s="213">
        <v>42510</v>
      </c>
      <c r="B798" s="20" t="s">
        <v>127</v>
      </c>
      <c r="C798" s="130"/>
      <c r="D798" s="60">
        <v>376265641997</v>
      </c>
      <c r="E798" s="113">
        <v>350428</v>
      </c>
      <c r="F798" s="121"/>
      <c r="G798" s="122">
        <v>228.95</v>
      </c>
      <c r="H798" s="134" t="s">
        <v>1008</v>
      </c>
      <c r="J798" s="124" t="s">
        <v>435</v>
      </c>
    </row>
    <row r="799" spans="1:10" x14ac:dyDescent="0.2">
      <c r="A799" s="213">
        <v>42508</v>
      </c>
      <c r="B799" s="20" t="s">
        <v>127</v>
      </c>
      <c r="C799" s="130"/>
      <c r="D799" s="60">
        <v>376266954993</v>
      </c>
      <c r="E799" s="113">
        <v>350536</v>
      </c>
      <c r="F799" s="121"/>
      <c r="G799" s="122">
        <f>25.22+36.74</f>
        <v>61.96</v>
      </c>
      <c r="H799" s="134" t="s">
        <v>1009</v>
      </c>
      <c r="J799" s="124" t="s">
        <v>435</v>
      </c>
    </row>
    <row r="800" spans="1:10" x14ac:dyDescent="0.2">
      <c r="A800" s="213">
        <v>42509</v>
      </c>
      <c r="B800" s="20" t="s">
        <v>127</v>
      </c>
      <c r="C800" s="130"/>
      <c r="D800" s="60">
        <v>376266954993</v>
      </c>
      <c r="E800" s="113">
        <v>350536</v>
      </c>
      <c r="F800" s="121"/>
      <c r="G800" s="122">
        <f>57.78+174.03</f>
        <v>231.81</v>
      </c>
      <c r="H800" s="134" t="s">
        <v>1010</v>
      </c>
      <c r="J800" s="124" t="s">
        <v>435</v>
      </c>
    </row>
    <row r="801" spans="1:10" x14ac:dyDescent="0.2">
      <c r="A801" s="213">
        <v>42510</v>
      </c>
      <c r="B801" s="20" t="s">
        <v>127</v>
      </c>
      <c r="C801" s="130"/>
      <c r="D801" s="60">
        <v>376266954993</v>
      </c>
      <c r="E801" s="113">
        <v>350536</v>
      </c>
      <c r="F801" s="121"/>
      <c r="G801" s="122">
        <f>9.99+24.53</f>
        <v>34.520000000000003</v>
      </c>
      <c r="H801" s="134" t="s">
        <v>1011</v>
      </c>
      <c r="J801" s="124" t="s">
        <v>435</v>
      </c>
    </row>
    <row r="802" spans="1:10" s="203" customFormat="1" x14ac:dyDescent="0.2">
      <c r="A802" s="215">
        <v>42510</v>
      </c>
      <c r="B802" s="216" t="s">
        <v>127</v>
      </c>
      <c r="C802" s="203" t="s">
        <v>151</v>
      </c>
      <c r="D802" s="59">
        <v>376216686992</v>
      </c>
      <c r="E802" s="68">
        <v>217518</v>
      </c>
      <c r="F802" s="217"/>
      <c r="G802" s="218">
        <f>21.3+32</f>
        <v>53.3</v>
      </c>
      <c r="H802" s="223" t="s">
        <v>1012</v>
      </c>
      <c r="J802" s="219" t="s">
        <v>246</v>
      </c>
    </row>
    <row r="803" spans="1:10" s="203" customFormat="1" x14ac:dyDescent="0.2">
      <c r="A803" s="215">
        <v>42508</v>
      </c>
      <c r="B803" s="216" t="s">
        <v>127</v>
      </c>
      <c r="C803" s="203" t="s">
        <v>151</v>
      </c>
      <c r="D803" s="59">
        <v>376216686992</v>
      </c>
      <c r="E803" s="68">
        <v>217518</v>
      </c>
      <c r="F803" s="217"/>
      <c r="G803" s="218">
        <f>20.07+29.88</f>
        <v>49.95</v>
      </c>
      <c r="H803" s="223" t="s">
        <v>1013</v>
      </c>
      <c r="J803" s="219" t="s">
        <v>246</v>
      </c>
    </row>
    <row r="804" spans="1:10" s="203" customFormat="1" x14ac:dyDescent="0.2">
      <c r="A804" s="215">
        <v>42507</v>
      </c>
      <c r="B804" s="216" t="s">
        <v>127</v>
      </c>
      <c r="C804" s="203" t="s">
        <v>151</v>
      </c>
      <c r="D804" s="59">
        <v>376216686992</v>
      </c>
      <c r="E804" s="68">
        <v>217518</v>
      </c>
      <c r="F804" s="217"/>
      <c r="G804" s="218">
        <f>8.18+32.33</f>
        <v>40.51</v>
      </c>
      <c r="H804" s="223" t="s">
        <v>1014</v>
      </c>
      <c r="J804" s="219" t="s">
        <v>246</v>
      </c>
    </row>
    <row r="805" spans="1:10" s="203" customFormat="1" x14ac:dyDescent="0.2">
      <c r="A805" s="215">
        <v>42505</v>
      </c>
      <c r="B805" s="216" t="s">
        <v>127</v>
      </c>
      <c r="C805" s="203" t="s">
        <v>151</v>
      </c>
      <c r="D805" s="59">
        <v>376216686992</v>
      </c>
      <c r="E805" s="68">
        <v>217518</v>
      </c>
      <c r="F805" s="217"/>
      <c r="G805" s="218">
        <f>18.31+81.64</f>
        <v>99.95</v>
      </c>
      <c r="H805" s="223" t="s">
        <v>1015</v>
      </c>
      <c r="J805" s="219" t="s">
        <v>246</v>
      </c>
    </row>
    <row r="806" spans="1:10" s="203" customFormat="1" x14ac:dyDescent="0.2">
      <c r="A806" s="215">
        <v>42509</v>
      </c>
      <c r="B806" s="216" t="s">
        <v>127</v>
      </c>
      <c r="C806" s="261" t="s">
        <v>151</v>
      </c>
      <c r="D806" s="59">
        <v>376212827996</v>
      </c>
      <c r="E806" s="68">
        <v>223720</v>
      </c>
      <c r="F806" s="217"/>
      <c r="G806" s="218">
        <v>74.67</v>
      </c>
      <c r="H806" s="223" t="s">
        <v>1016</v>
      </c>
      <c r="J806" s="219" t="s">
        <v>246</v>
      </c>
    </row>
    <row r="807" spans="1:10" s="203" customFormat="1" x14ac:dyDescent="0.2">
      <c r="A807" s="221" t="s">
        <v>257</v>
      </c>
      <c r="B807" s="216" t="s">
        <v>0</v>
      </c>
      <c r="C807" s="203" t="s">
        <v>476</v>
      </c>
      <c r="D807" s="217" t="s">
        <v>1017</v>
      </c>
      <c r="E807" s="68">
        <v>350580</v>
      </c>
      <c r="F807" s="260" t="s">
        <v>1018</v>
      </c>
      <c r="G807" s="227">
        <v>606.47</v>
      </c>
      <c r="J807" s="220" t="s">
        <v>246</v>
      </c>
    </row>
    <row r="808" spans="1:10" x14ac:dyDescent="0.2">
      <c r="A808" s="103" t="s">
        <v>257</v>
      </c>
      <c r="B808" s="20" t="s">
        <v>0</v>
      </c>
      <c r="D808" s="120" t="s">
        <v>1019</v>
      </c>
      <c r="E808" s="113">
        <v>220059</v>
      </c>
      <c r="F808" s="151" t="s">
        <v>1020</v>
      </c>
      <c r="G808" s="135">
        <v>50.54</v>
      </c>
      <c r="J808" s="123" t="s">
        <v>968</v>
      </c>
    </row>
    <row r="809" spans="1:10" s="203" customFormat="1" x14ac:dyDescent="0.2">
      <c r="A809" s="221" t="s">
        <v>257</v>
      </c>
      <c r="B809" s="216" t="s">
        <v>0</v>
      </c>
      <c r="C809" s="203" t="s">
        <v>476</v>
      </c>
      <c r="D809" s="217" t="s">
        <v>1019</v>
      </c>
      <c r="E809" s="68">
        <v>220059</v>
      </c>
      <c r="F809" s="260" t="s">
        <v>1021</v>
      </c>
      <c r="G809" s="227">
        <v>41.96</v>
      </c>
      <c r="J809" s="220" t="s">
        <v>246</v>
      </c>
    </row>
    <row r="810" spans="1:10" s="203" customFormat="1" x14ac:dyDescent="0.2">
      <c r="A810" s="221" t="s">
        <v>257</v>
      </c>
      <c r="B810" s="216" t="s">
        <v>0</v>
      </c>
      <c r="C810" s="203" t="s">
        <v>476</v>
      </c>
      <c r="D810" s="217" t="s">
        <v>1022</v>
      </c>
      <c r="E810" s="68">
        <v>351132</v>
      </c>
      <c r="F810" s="260" t="s">
        <v>1023</v>
      </c>
      <c r="G810" s="227">
        <v>329.59</v>
      </c>
      <c r="J810" s="220" t="s">
        <v>246</v>
      </c>
    </row>
    <row r="811" spans="1:10" s="203" customFormat="1" x14ac:dyDescent="0.2">
      <c r="A811" s="221" t="s">
        <v>257</v>
      </c>
      <c r="B811" s="216" t="s">
        <v>0</v>
      </c>
      <c r="C811" s="203" t="s">
        <v>476</v>
      </c>
      <c r="D811" s="217" t="s">
        <v>1024</v>
      </c>
      <c r="E811" s="68">
        <v>352074</v>
      </c>
      <c r="F811" s="260" t="s">
        <v>1025</v>
      </c>
      <c r="G811" s="227">
        <v>212.85</v>
      </c>
      <c r="J811" s="220" t="s">
        <v>246</v>
      </c>
    </row>
    <row r="812" spans="1:10" s="203" customFormat="1" x14ac:dyDescent="0.2">
      <c r="A812" s="221" t="s">
        <v>257</v>
      </c>
      <c r="B812" s="216" t="s">
        <v>0</v>
      </c>
      <c r="C812" s="203" t="s">
        <v>476</v>
      </c>
      <c r="D812" s="217" t="s">
        <v>1026</v>
      </c>
      <c r="E812" s="68">
        <v>350934</v>
      </c>
      <c r="F812" s="260" t="s">
        <v>1027</v>
      </c>
      <c r="G812" s="227">
        <v>184.64</v>
      </c>
      <c r="J812" s="220" t="s">
        <v>246</v>
      </c>
    </row>
    <row r="813" spans="1:10" x14ac:dyDescent="0.2">
      <c r="A813" s="103" t="s">
        <v>257</v>
      </c>
      <c r="B813" s="20" t="s">
        <v>0</v>
      </c>
      <c r="D813" s="120" t="s">
        <v>47</v>
      </c>
      <c r="E813" s="113">
        <v>352265</v>
      </c>
      <c r="F813" s="120" t="s">
        <v>48</v>
      </c>
      <c r="G813" s="122">
        <v>45.95</v>
      </c>
      <c r="J813" s="123" t="s">
        <v>6</v>
      </c>
    </row>
    <row r="814" spans="1:10" s="203" customFormat="1" x14ac:dyDescent="0.2">
      <c r="A814" s="215">
        <v>42514</v>
      </c>
      <c r="B814" s="216" t="s">
        <v>127</v>
      </c>
      <c r="C814" s="203" t="s">
        <v>151</v>
      </c>
      <c r="D814" s="59">
        <v>376216686992</v>
      </c>
      <c r="E814" s="68">
        <v>217518</v>
      </c>
      <c r="F814" s="217"/>
      <c r="G814" s="218">
        <f>111.96+137.99</f>
        <v>249.95</v>
      </c>
      <c r="H814" s="223" t="s">
        <v>1028</v>
      </c>
      <c r="J814" s="220" t="s">
        <v>246</v>
      </c>
    </row>
    <row r="815" spans="1:10" s="203" customFormat="1" x14ac:dyDescent="0.2">
      <c r="A815" s="215">
        <v>42515</v>
      </c>
      <c r="B815" s="216" t="s">
        <v>127</v>
      </c>
      <c r="C815" s="203" t="s">
        <v>151</v>
      </c>
      <c r="D815" s="59">
        <v>376216686992</v>
      </c>
      <c r="E815" s="68">
        <v>217518</v>
      </c>
      <c r="F815" s="217"/>
      <c r="G815" s="218">
        <f>18.16+23.79</f>
        <v>41.95</v>
      </c>
      <c r="H815" s="228" t="s">
        <v>1029</v>
      </c>
      <c r="J815" s="220" t="s">
        <v>246</v>
      </c>
    </row>
    <row r="816" spans="1:10" x14ac:dyDescent="0.2">
      <c r="A816" s="213">
        <v>42517</v>
      </c>
      <c r="B816" s="20" t="s">
        <v>127</v>
      </c>
      <c r="C816" s="130"/>
      <c r="D816" s="60">
        <v>376216686992</v>
      </c>
      <c r="E816" s="113">
        <v>217518</v>
      </c>
      <c r="F816" s="121"/>
      <c r="G816" s="122">
        <f>27.98+79.92</f>
        <v>107.9</v>
      </c>
      <c r="H816" s="139" t="s">
        <v>1030</v>
      </c>
      <c r="J816" s="123" t="s">
        <v>1031</v>
      </c>
    </row>
    <row r="817" spans="1:10" s="203" customFormat="1" x14ac:dyDescent="0.2">
      <c r="A817" s="215">
        <v>42517</v>
      </c>
      <c r="B817" s="216" t="s">
        <v>127</v>
      </c>
      <c r="C817" s="203" t="s">
        <v>151</v>
      </c>
      <c r="D817" s="59">
        <v>376216686992</v>
      </c>
      <c r="E817" s="68">
        <v>217518</v>
      </c>
      <c r="F817" s="217"/>
      <c r="G817" s="218">
        <f>17.16+67.79</f>
        <v>84.95</v>
      </c>
      <c r="H817" s="228" t="s">
        <v>1032</v>
      </c>
      <c r="J817" s="220" t="s">
        <v>246</v>
      </c>
    </row>
    <row r="818" spans="1:10" x14ac:dyDescent="0.2">
      <c r="A818" s="213">
        <v>42519</v>
      </c>
      <c r="B818" s="20" t="s">
        <v>127</v>
      </c>
      <c r="C818" s="130"/>
      <c r="D818" s="60">
        <v>376241156995</v>
      </c>
      <c r="E818" s="113">
        <v>201412</v>
      </c>
      <c r="F818" s="121"/>
      <c r="G818" s="122">
        <v>86.31</v>
      </c>
      <c r="H818" s="139" t="s">
        <v>1033</v>
      </c>
      <c r="J818" s="123" t="s">
        <v>1031</v>
      </c>
    </row>
    <row r="819" spans="1:10" x14ac:dyDescent="0.2">
      <c r="A819" s="213">
        <v>42515</v>
      </c>
      <c r="B819" s="20" t="s">
        <v>127</v>
      </c>
      <c r="C819" s="130"/>
      <c r="D819" s="60">
        <v>376263652996</v>
      </c>
      <c r="E819" s="113">
        <v>350330</v>
      </c>
      <c r="F819" s="121"/>
      <c r="G819" s="122">
        <f>10.3+50.64</f>
        <v>60.94</v>
      </c>
      <c r="H819" s="139" t="s">
        <v>1034</v>
      </c>
      <c r="J819" s="154" t="s">
        <v>1035</v>
      </c>
    </row>
    <row r="820" spans="1:10" x14ac:dyDescent="0.2">
      <c r="A820" s="213">
        <v>42517</v>
      </c>
      <c r="B820" s="20" t="s">
        <v>127</v>
      </c>
      <c r="C820" s="130"/>
      <c r="D820" s="60">
        <v>376263652996</v>
      </c>
      <c r="E820" s="113">
        <v>350330</v>
      </c>
      <c r="F820" s="121"/>
      <c r="G820" s="122">
        <f>42.85+38.85</f>
        <v>81.7</v>
      </c>
      <c r="H820" s="139" t="s">
        <v>1036</v>
      </c>
      <c r="J820" s="154" t="s">
        <v>1035</v>
      </c>
    </row>
    <row r="821" spans="1:10" x14ac:dyDescent="0.2">
      <c r="A821" s="213">
        <v>42514</v>
      </c>
      <c r="B821" s="20" t="s">
        <v>127</v>
      </c>
      <c r="C821" s="130"/>
      <c r="D821" s="60">
        <v>376255263992</v>
      </c>
      <c r="E821" s="113">
        <v>217812</v>
      </c>
      <c r="F821" s="121"/>
      <c r="G821" s="122">
        <f>29.86+7.24</f>
        <v>37.1</v>
      </c>
      <c r="H821" s="139" t="s">
        <v>1037</v>
      </c>
      <c r="J821" s="155" t="s">
        <v>1038</v>
      </c>
    </row>
    <row r="822" spans="1:10" x14ac:dyDescent="0.2">
      <c r="A822" s="213">
        <v>42514</v>
      </c>
      <c r="B822" s="20" t="s">
        <v>127</v>
      </c>
      <c r="C822" s="130"/>
      <c r="D822" s="60">
        <v>376255263992</v>
      </c>
      <c r="E822" s="113">
        <v>217812</v>
      </c>
      <c r="F822" s="121"/>
      <c r="G822" s="122">
        <f>19.07+128.94</f>
        <v>148.01</v>
      </c>
      <c r="H822" s="139" t="s">
        <v>1039</v>
      </c>
      <c r="J822" s="155" t="s">
        <v>1038</v>
      </c>
    </row>
    <row r="823" spans="1:10" x14ac:dyDescent="0.2">
      <c r="A823" s="213">
        <v>42514</v>
      </c>
      <c r="B823" s="20" t="s">
        <v>127</v>
      </c>
      <c r="C823" s="130"/>
      <c r="D823" s="60">
        <v>376255263992</v>
      </c>
      <c r="E823" s="113">
        <v>217812</v>
      </c>
      <c r="F823" s="121"/>
      <c r="G823" s="122">
        <f>79.73+18.54</f>
        <v>98.27000000000001</v>
      </c>
      <c r="H823" s="139" t="s">
        <v>1040</v>
      </c>
      <c r="J823" s="155" t="s">
        <v>1038</v>
      </c>
    </row>
    <row r="824" spans="1:10" x14ac:dyDescent="0.2">
      <c r="A824" s="213">
        <v>42514</v>
      </c>
      <c r="B824" s="20" t="s">
        <v>127</v>
      </c>
      <c r="C824" s="130"/>
      <c r="D824" s="60">
        <v>376255263992</v>
      </c>
      <c r="E824" s="113">
        <v>217812</v>
      </c>
      <c r="F824" s="121"/>
      <c r="G824" s="122">
        <f>82.45+18.57</f>
        <v>101.02000000000001</v>
      </c>
      <c r="H824" s="139" t="s">
        <v>1041</v>
      </c>
      <c r="J824" s="155" t="s">
        <v>1038</v>
      </c>
    </row>
    <row r="825" spans="1:10" x14ac:dyDescent="0.2">
      <c r="A825" s="213">
        <v>42514</v>
      </c>
      <c r="B825" s="20" t="s">
        <v>127</v>
      </c>
      <c r="C825" s="130"/>
      <c r="D825" s="60">
        <v>376255263992</v>
      </c>
      <c r="E825" s="113">
        <v>217812</v>
      </c>
      <c r="F825" s="121"/>
      <c r="G825" s="122">
        <f>16.02+54.95</f>
        <v>70.97</v>
      </c>
      <c r="H825" s="139" t="s">
        <v>1042</v>
      </c>
      <c r="J825" s="155" t="s">
        <v>1038</v>
      </c>
    </row>
    <row r="826" spans="1:10" x14ac:dyDescent="0.2">
      <c r="A826" s="213">
        <v>42514</v>
      </c>
      <c r="B826" s="20" t="s">
        <v>127</v>
      </c>
      <c r="C826" s="130"/>
      <c r="D826" s="60">
        <v>376255263992</v>
      </c>
      <c r="E826" s="113">
        <v>217812</v>
      </c>
      <c r="F826" s="121"/>
      <c r="G826" s="122">
        <f>83.46+235.4</f>
        <v>318.86</v>
      </c>
      <c r="H826" s="139" t="s">
        <v>1043</v>
      </c>
      <c r="J826" s="155" t="s">
        <v>1038</v>
      </c>
    </row>
    <row r="827" spans="1:10" x14ac:dyDescent="0.2">
      <c r="A827" s="213">
        <v>42514</v>
      </c>
      <c r="B827" s="20" t="s">
        <v>127</v>
      </c>
      <c r="C827" s="130"/>
      <c r="D827" s="60">
        <v>376255263992</v>
      </c>
      <c r="E827" s="113">
        <v>217812</v>
      </c>
      <c r="F827" s="121"/>
      <c r="G827" s="122">
        <f>42.84+9.55</f>
        <v>52.39</v>
      </c>
      <c r="H827" s="139" t="s">
        <v>1044</v>
      </c>
      <c r="J827" s="155" t="s">
        <v>1038</v>
      </c>
    </row>
    <row r="828" spans="1:10" x14ac:dyDescent="0.2">
      <c r="A828" s="213">
        <v>42517</v>
      </c>
      <c r="B828" s="20" t="s">
        <v>127</v>
      </c>
      <c r="C828" s="130"/>
      <c r="D828" s="60">
        <v>376271123998</v>
      </c>
      <c r="E828" s="113">
        <v>351306</v>
      </c>
      <c r="F828" s="121"/>
      <c r="G828" s="122">
        <v>476.95</v>
      </c>
      <c r="H828" s="139" t="s">
        <v>1045</v>
      </c>
      <c r="J828" s="123" t="s">
        <v>1031</v>
      </c>
    </row>
    <row r="829" spans="1:10" x14ac:dyDescent="0.2">
      <c r="A829" s="213">
        <v>42513</v>
      </c>
      <c r="B829" s="20" t="s">
        <v>127</v>
      </c>
      <c r="C829" s="130"/>
      <c r="D829" s="60">
        <v>376270713997</v>
      </c>
      <c r="E829" s="113">
        <v>351215</v>
      </c>
      <c r="F829" s="121"/>
      <c r="G829" s="122">
        <f>72.39+44</f>
        <v>116.39</v>
      </c>
      <c r="H829" s="139" t="s">
        <v>1046</v>
      </c>
      <c r="J829" s="123" t="s">
        <v>1031</v>
      </c>
    </row>
    <row r="830" spans="1:10" x14ac:dyDescent="0.2">
      <c r="A830" s="213">
        <v>42513</v>
      </c>
      <c r="B830" s="20" t="s">
        <v>127</v>
      </c>
      <c r="C830" s="130"/>
      <c r="D830" s="60">
        <v>376270713997</v>
      </c>
      <c r="E830" s="113">
        <v>351215</v>
      </c>
      <c r="F830" s="121"/>
      <c r="G830" s="122">
        <f>20.44+89.51</f>
        <v>109.95</v>
      </c>
      <c r="H830" s="139" t="s">
        <v>1047</v>
      </c>
      <c r="J830" s="123" t="s">
        <v>1031</v>
      </c>
    </row>
    <row r="831" spans="1:10" x14ac:dyDescent="0.2">
      <c r="A831" s="213">
        <v>42513</v>
      </c>
      <c r="B831" s="20" t="s">
        <v>127</v>
      </c>
      <c r="C831" s="130"/>
      <c r="D831" s="60">
        <v>376270713997</v>
      </c>
      <c r="E831" s="113">
        <v>351215</v>
      </c>
      <c r="F831" s="121"/>
      <c r="G831" s="122">
        <f>75.96+155.16</f>
        <v>231.12</v>
      </c>
      <c r="H831" s="139" t="s">
        <v>1048</v>
      </c>
      <c r="J831" s="123" t="s">
        <v>1031</v>
      </c>
    </row>
    <row r="832" spans="1:10" x14ac:dyDescent="0.2">
      <c r="A832" s="213">
        <v>42513</v>
      </c>
      <c r="B832" s="20" t="s">
        <v>127</v>
      </c>
      <c r="C832" s="130"/>
      <c r="D832" s="60">
        <v>376270713997</v>
      </c>
      <c r="E832" s="113">
        <v>351215</v>
      </c>
      <c r="F832" s="121"/>
      <c r="G832" s="122">
        <f>11.8+0</f>
        <v>11.8</v>
      </c>
      <c r="H832" s="139" t="s">
        <v>986</v>
      </c>
      <c r="J832" s="123" t="s">
        <v>1031</v>
      </c>
    </row>
    <row r="833" spans="1:10" x14ac:dyDescent="0.2">
      <c r="A833" s="213">
        <v>42514</v>
      </c>
      <c r="B833" s="20" t="s">
        <v>127</v>
      </c>
      <c r="C833" s="130"/>
      <c r="D833" s="60">
        <v>376270713997</v>
      </c>
      <c r="E833" s="113">
        <v>351215</v>
      </c>
      <c r="F833" s="121"/>
      <c r="G833" s="122">
        <f>24.32+48.68</f>
        <v>73</v>
      </c>
      <c r="H833" s="139" t="s">
        <v>1049</v>
      </c>
      <c r="J833" s="123" t="s">
        <v>1031</v>
      </c>
    </row>
    <row r="834" spans="1:10" x14ac:dyDescent="0.2">
      <c r="A834" s="213">
        <v>42514</v>
      </c>
      <c r="B834" s="20" t="s">
        <v>127</v>
      </c>
      <c r="C834" s="130"/>
      <c r="D834" s="60">
        <v>376270713997</v>
      </c>
      <c r="E834" s="113">
        <v>351215</v>
      </c>
      <c r="F834" s="121"/>
      <c r="G834" s="122">
        <f>95.66+29.48</f>
        <v>125.14</v>
      </c>
      <c r="H834" s="139" t="s">
        <v>1050</v>
      </c>
      <c r="J834" s="123" t="s">
        <v>1031</v>
      </c>
    </row>
    <row r="835" spans="1:10" x14ac:dyDescent="0.2">
      <c r="A835" s="213">
        <v>42514</v>
      </c>
      <c r="B835" s="20" t="s">
        <v>127</v>
      </c>
      <c r="C835" s="130"/>
      <c r="D835" s="60">
        <v>376270713997</v>
      </c>
      <c r="E835" s="113">
        <v>351215</v>
      </c>
      <c r="F835" s="121"/>
      <c r="G835" s="122">
        <f>91.3+63.24</f>
        <v>154.54</v>
      </c>
      <c r="H835" s="139" t="s">
        <v>1051</v>
      </c>
      <c r="J835" s="123" t="s">
        <v>1031</v>
      </c>
    </row>
    <row r="836" spans="1:10" x14ac:dyDescent="0.2">
      <c r="A836" s="213">
        <v>42516</v>
      </c>
      <c r="B836" s="20" t="s">
        <v>127</v>
      </c>
      <c r="C836" s="130"/>
      <c r="D836" s="60">
        <v>376270713997</v>
      </c>
      <c r="E836" s="113">
        <v>351215</v>
      </c>
      <c r="F836" s="121"/>
      <c r="G836" s="122">
        <f>69.8+24.2</f>
        <v>94</v>
      </c>
      <c r="H836" s="139" t="s">
        <v>1052</v>
      </c>
      <c r="J836" s="123" t="s">
        <v>1031</v>
      </c>
    </row>
    <row r="837" spans="1:10" x14ac:dyDescent="0.2">
      <c r="A837" s="213">
        <v>42516</v>
      </c>
      <c r="B837" s="20" t="s">
        <v>127</v>
      </c>
      <c r="C837" s="130"/>
      <c r="D837" s="60">
        <v>376270713997</v>
      </c>
      <c r="E837" s="113">
        <v>351215</v>
      </c>
      <c r="F837" s="121"/>
      <c r="G837" s="122">
        <f>28.01+68.99</f>
        <v>97</v>
      </c>
      <c r="H837" s="139" t="s">
        <v>1053</v>
      </c>
      <c r="J837" s="123" t="s">
        <v>1031</v>
      </c>
    </row>
    <row r="838" spans="1:10" x14ac:dyDescent="0.2">
      <c r="A838" s="213">
        <v>42517</v>
      </c>
      <c r="B838" s="20" t="s">
        <v>127</v>
      </c>
      <c r="C838" s="130"/>
      <c r="D838" s="60">
        <v>376270713997</v>
      </c>
      <c r="E838" s="113">
        <v>351215</v>
      </c>
      <c r="F838" s="121"/>
      <c r="G838" s="122">
        <f>57.81+35.68</f>
        <v>93.490000000000009</v>
      </c>
      <c r="H838" s="139" t="s">
        <v>1054</v>
      </c>
      <c r="J838" s="123" t="s">
        <v>1031</v>
      </c>
    </row>
    <row r="839" spans="1:10" x14ac:dyDescent="0.2">
      <c r="A839" s="213">
        <v>42517</v>
      </c>
      <c r="B839" s="20" t="s">
        <v>127</v>
      </c>
      <c r="C839" s="130"/>
      <c r="D839" s="60">
        <v>376270713997</v>
      </c>
      <c r="E839" s="113">
        <v>351215</v>
      </c>
      <c r="F839" s="121"/>
      <c r="G839" s="122">
        <f>24.2+69.8</f>
        <v>94</v>
      </c>
      <c r="H839" s="139" t="s">
        <v>1055</v>
      </c>
      <c r="J839" s="123" t="s">
        <v>1031</v>
      </c>
    </row>
    <row r="840" spans="1:10" x14ac:dyDescent="0.2">
      <c r="A840" s="213">
        <v>42517</v>
      </c>
      <c r="B840" s="20" t="s">
        <v>127</v>
      </c>
      <c r="C840" s="130"/>
      <c r="D840" s="60">
        <v>376270713997</v>
      </c>
      <c r="E840" s="113">
        <v>351215</v>
      </c>
      <c r="F840" s="121"/>
      <c r="G840" s="122">
        <f>69.8+29.84</f>
        <v>99.64</v>
      </c>
      <c r="H840" s="139" t="s">
        <v>1056</v>
      </c>
      <c r="J840" s="123" t="s">
        <v>1031</v>
      </c>
    </row>
    <row r="841" spans="1:10" x14ac:dyDescent="0.2">
      <c r="A841" s="213">
        <v>42517</v>
      </c>
      <c r="B841" s="20" t="s">
        <v>127</v>
      </c>
      <c r="C841" s="130"/>
      <c r="D841" s="60">
        <v>376270713997</v>
      </c>
      <c r="E841" s="113">
        <v>351215</v>
      </c>
      <c r="F841" s="121"/>
      <c r="G841" s="122">
        <f>66.09+117.11</f>
        <v>183.2</v>
      </c>
      <c r="H841" s="139" t="s">
        <v>1057</v>
      </c>
      <c r="J841" s="123" t="s">
        <v>1031</v>
      </c>
    </row>
    <row r="842" spans="1:10" x14ac:dyDescent="0.2">
      <c r="A842" s="213">
        <v>42517</v>
      </c>
      <c r="B842" s="20" t="s">
        <v>127</v>
      </c>
      <c r="C842" s="130"/>
      <c r="D842" s="60">
        <v>376270713997</v>
      </c>
      <c r="E842" s="113">
        <v>351215</v>
      </c>
      <c r="F842" s="121"/>
      <c r="G842" s="122">
        <f>62.57+93.43</f>
        <v>156</v>
      </c>
      <c r="H842" s="139" t="s">
        <v>1058</v>
      </c>
      <c r="J842" s="123" t="s">
        <v>1031</v>
      </c>
    </row>
    <row r="843" spans="1:10" x14ac:dyDescent="0.2">
      <c r="A843" s="213">
        <v>42519</v>
      </c>
      <c r="B843" s="20" t="s">
        <v>127</v>
      </c>
      <c r="C843" s="130"/>
      <c r="D843" s="60">
        <v>376270713997</v>
      </c>
      <c r="E843" s="113">
        <v>351215</v>
      </c>
      <c r="F843" s="121"/>
      <c r="G843" s="122">
        <f>124.45+44.76</f>
        <v>169.21</v>
      </c>
      <c r="H843" s="139" t="s">
        <v>1059</v>
      </c>
      <c r="J843" s="123" t="s">
        <v>1031</v>
      </c>
    </row>
    <row r="844" spans="1:10" x14ac:dyDescent="0.2">
      <c r="A844" s="213">
        <v>42519</v>
      </c>
      <c r="B844" s="20" t="s">
        <v>127</v>
      </c>
      <c r="C844" s="130"/>
      <c r="D844" s="60">
        <v>376270713997</v>
      </c>
      <c r="E844" s="113">
        <v>351215</v>
      </c>
      <c r="F844" s="121"/>
      <c r="G844" s="122">
        <f>68.25+93.94</f>
        <v>162.19</v>
      </c>
      <c r="H844" s="139" t="s">
        <v>1060</v>
      </c>
      <c r="J844" s="123" t="s">
        <v>1031</v>
      </c>
    </row>
    <row r="845" spans="1:10" x14ac:dyDescent="0.2">
      <c r="A845" s="213">
        <v>42519</v>
      </c>
      <c r="B845" s="20" t="s">
        <v>127</v>
      </c>
      <c r="C845" s="130"/>
      <c r="D845" s="60">
        <v>376270713997</v>
      </c>
      <c r="E845" s="113">
        <v>351215</v>
      </c>
      <c r="F845" s="121"/>
      <c r="G845" s="122">
        <f>30.72+16.98</f>
        <v>47.7</v>
      </c>
      <c r="H845" s="139" t="s">
        <v>1061</v>
      </c>
      <c r="J845" s="123" t="s">
        <v>1031</v>
      </c>
    </row>
    <row r="846" spans="1:10" x14ac:dyDescent="0.2">
      <c r="A846" s="213">
        <v>42516</v>
      </c>
      <c r="B846" s="20" t="s">
        <v>127</v>
      </c>
      <c r="C846" s="130"/>
      <c r="D846" s="60">
        <v>376266954993</v>
      </c>
      <c r="E846" s="113">
        <v>350536</v>
      </c>
      <c r="F846" s="121"/>
      <c r="G846" s="122">
        <f>168.11+62.91</f>
        <v>231.02</v>
      </c>
      <c r="H846" s="139" t="s">
        <v>1062</v>
      </c>
      <c r="J846" s="123" t="s">
        <v>1031</v>
      </c>
    </row>
    <row r="847" spans="1:10" x14ac:dyDescent="0.2">
      <c r="A847" s="213">
        <v>42516</v>
      </c>
      <c r="B847" s="20" t="s">
        <v>127</v>
      </c>
      <c r="C847" s="130"/>
      <c r="D847" s="60">
        <v>376266954993</v>
      </c>
      <c r="E847" s="113">
        <v>350536</v>
      </c>
      <c r="F847" s="121"/>
      <c r="G847" s="122">
        <f>94.01+45.5</f>
        <v>139.51</v>
      </c>
      <c r="H847" s="139" t="s">
        <v>1063</v>
      </c>
      <c r="J847" s="123" t="s">
        <v>1031</v>
      </c>
    </row>
    <row r="848" spans="1:10" x14ac:dyDescent="0.2">
      <c r="A848" s="213">
        <v>42512</v>
      </c>
      <c r="B848" s="20" t="s">
        <v>127</v>
      </c>
      <c r="C848" s="130"/>
      <c r="D848" s="60">
        <v>376269450999</v>
      </c>
      <c r="E848" s="113">
        <v>350960</v>
      </c>
      <c r="F848" s="121"/>
      <c r="G848" s="122">
        <f>13.69+284.26</f>
        <v>297.95</v>
      </c>
      <c r="H848" s="139" t="s">
        <v>1064</v>
      </c>
      <c r="J848" s="123" t="s">
        <v>1031</v>
      </c>
    </row>
    <row r="849" spans="1:10" x14ac:dyDescent="0.2">
      <c r="A849" s="213">
        <v>42512</v>
      </c>
      <c r="B849" s="20" t="s">
        <v>127</v>
      </c>
      <c r="C849" s="130"/>
      <c r="D849" s="60">
        <v>376269450999</v>
      </c>
      <c r="E849" s="113">
        <v>350960</v>
      </c>
      <c r="F849" s="121"/>
      <c r="G849" s="122">
        <f>12.31+10.64</f>
        <v>22.950000000000003</v>
      </c>
      <c r="H849" s="139" t="s">
        <v>1065</v>
      </c>
      <c r="J849" s="123" t="s">
        <v>906</v>
      </c>
    </row>
    <row r="850" spans="1:10" x14ac:dyDescent="0.2">
      <c r="A850" s="119" t="s">
        <v>1943</v>
      </c>
      <c r="B850" s="20" t="s">
        <v>0</v>
      </c>
      <c r="C850" s="130"/>
      <c r="D850" s="60">
        <v>376213346996</v>
      </c>
      <c r="E850" s="113">
        <v>215842</v>
      </c>
      <c r="F850" s="121" t="s">
        <v>1066</v>
      </c>
      <c r="G850" s="135">
        <v>54.95</v>
      </c>
      <c r="H850" s="131"/>
      <c r="J850" s="123" t="s">
        <v>1067</v>
      </c>
    </row>
    <row r="851" spans="1:10" x14ac:dyDescent="0.2">
      <c r="A851" s="119" t="s">
        <v>1943</v>
      </c>
      <c r="B851" s="20" t="s">
        <v>0</v>
      </c>
      <c r="C851" s="130"/>
      <c r="D851" s="60">
        <v>376213346996</v>
      </c>
      <c r="E851" s="113">
        <v>215842</v>
      </c>
      <c r="F851" s="121" t="s">
        <v>1068</v>
      </c>
      <c r="G851" s="135">
        <v>223.9</v>
      </c>
      <c r="H851" s="131"/>
      <c r="J851" s="123" t="s">
        <v>1067</v>
      </c>
    </row>
    <row r="852" spans="1:10" s="203" customFormat="1" x14ac:dyDescent="0.2">
      <c r="A852" s="221" t="s">
        <v>1943</v>
      </c>
      <c r="B852" s="216" t="s">
        <v>0</v>
      </c>
      <c r="C852" s="203" t="s">
        <v>476</v>
      </c>
      <c r="D852" s="59">
        <v>376266263999</v>
      </c>
      <c r="E852" s="68">
        <v>350471</v>
      </c>
      <c r="F852" s="260" t="s">
        <v>1069</v>
      </c>
      <c r="G852" s="227">
        <v>31.9</v>
      </c>
      <c r="H852" s="223"/>
      <c r="J852" s="220" t="s">
        <v>246</v>
      </c>
    </row>
    <row r="853" spans="1:10" s="203" customFormat="1" x14ac:dyDescent="0.2">
      <c r="A853" s="221" t="s">
        <v>1943</v>
      </c>
      <c r="B853" s="216" t="s">
        <v>0</v>
      </c>
      <c r="C853" s="203" t="s">
        <v>476</v>
      </c>
      <c r="D853" s="59">
        <v>376211115997</v>
      </c>
      <c r="E853" s="68">
        <v>1235</v>
      </c>
      <c r="F853" s="260" t="s">
        <v>1070</v>
      </c>
      <c r="G853" s="227">
        <v>161.9</v>
      </c>
      <c r="H853" s="223"/>
      <c r="J853" s="220" t="s">
        <v>246</v>
      </c>
    </row>
    <row r="854" spans="1:10" s="203" customFormat="1" x14ac:dyDescent="0.2">
      <c r="A854" s="221" t="s">
        <v>1943</v>
      </c>
      <c r="B854" s="216" t="s">
        <v>0</v>
      </c>
      <c r="C854" s="203" t="s">
        <v>476</v>
      </c>
      <c r="D854" s="59">
        <v>376262046992</v>
      </c>
      <c r="E854" s="68">
        <v>350259</v>
      </c>
      <c r="F854" s="260" t="s">
        <v>1071</v>
      </c>
      <c r="G854" s="227">
        <v>145.94999999999999</v>
      </c>
      <c r="H854" s="223"/>
      <c r="J854" s="220" t="s">
        <v>246</v>
      </c>
    </row>
    <row r="855" spans="1:10" s="203" customFormat="1" x14ac:dyDescent="0.2">
      <c r="A855" s="221" t="s">
        <v>1943</v>
      </c>
      <c r="B855" s="216" t="s">
        <v>0</v>
      </c>
      <c r="C855" s="203" t="s">
        <v>476</v>
      </c>
      <c r="D855" s="59">
        <v>376209664998</v>
      </c>
      <c r="E855" s="68">
        <v>213270</v>
      </c>
      <c r="F855" s="260" t="s">
        <v>1072</v>
      </c>
      <c r="G855" s="227">
        <v>84.38</v>
      </c>
      <c r="H855" s="223"/>
      <c r="J855" s="220" t="s">
        <v>246</v>
      </c>
    </row>
    <row r="856" spans="1:10" s="203" customFormat="1" x14ac:dyDescent="0.2">
      <c r="A856" s="221" t="s">
        <v>1943</v>
      </c>
      <c r="B856" s="216" t="s">
        <v>0</v>
      </c>
      <c r="C856" s="203" t="s">
        <v>476</v>
      </c>
      <c r="D856" s="59">
        <v>376209664998</v>
      </c>
      <c r="E856" s="68">
        <v>213270</v>
      </c>
      <c r="F856" s="260" t="s">
        <v>1073</v>
      </c>
      <c r="G856" s="227">
        <v>41.33</v>
      </c>
      <c r="H856" s="223"/>
      <c r="J856" s="220" t="s">
        <v>246</v>
      </c>
    </row>
    <row r="857" spans="1:10" s="203" customFormat="1" x14ac:dyDescent="0.2">
      <c r="A857" s="221" t="s">
        <v>1943</v>
      </c>
      <c r="B857" s="216" t="s">
        <v>0</v>
      </c>
      <c r="C857" s="203" t="s">
        <v>476</v>
      </c>
      <c r="D857" s="59">
        <v>376272889993</v>
      </c>
      <c r="E857" s="68">
        <v>352057</v>
      </c>
      <c r="F857" s="260"/>
      <c r="G857" s="227">
        <v>98.95</v>
      </c>
      <c r="H857" s="223"/>
      <c r="J857" s="220" t="s">
        <v>246</v>
      </c>
    </row>
    <row r="858" spans="1:10" s="203" customFormat="1" x14ac:dyDescent="0.2">
      <c r="A858" s="221" t="s">
        <v>1943</v>
      </c>
      <c r="B858" s="216" t="s">
        <v>0</v>
      </c>
      <c r="C858" s="203" t="s">
        <v>476</v>
      </c>
      <c r="D858" s="59">
        <v>376215534995</v>
      </c>
      <c r="E858" s="68">
        <v>215820</v>
      </c>
      <c r="F858" s="260" t="s">
        <v>1074</v>
      </c>
      <c r="G858" s="227">
        <v>85.95</v>
      </c>
      <c r="H858" s="223"/>
      <c r="J858" s="220" t="s">
        <v>246</v>
      </c>
    </row>
    <row r="859" spans="1:10" s="203" customFormat="1" x14ac:dyDescent="0.2">
      <c r="A859" s="221" t="s">
        <v>1943</v>
      </c>
      <c r="B859" s="216" t="s">
        <v>0</v>
      </c>
      <c r="C859" s="203" t="s">
        <v>476</v>
      </c>
      <c r="D859" s="59">
        <v>376213691995</v>
      </c>
      <c r="E859" s="68">
        <v>1236</v>
      </c>
      <c r="F859" s="260" t="s">
        <v>1075</v>
      </c>
      <c r="G859" s="227">
        <v>72.95</v>
      </c>
      <c r="H859" s="223"/>
      <c r="J859" s="220" t="s">
        <v>246</v>
      </c>
    </row>
    <row r="860" spans="1:10" s="203" customFormat="1" x14ac:dyDescent="0.2">
      <c r="A860" s="221" t="s">
        <v>1943</v>
      </c>
      <c r="B860" s="216" t="s">
        <v>0</v>
      </c>
      <c r="C860" s="203" t="s">
        <v>476</v>
      </c>
      <c r="D860" s="59">
        <v>376271179990</v>
      </c>
      <c r="E860" s="68">
        <v>217848</v>
      </c>
      <c r="F860" s="260" t="s">
        <v>1076</v>
      </c>
      <c r="G860" s="227">
        <v>112.95</v>
      </c>
      <c r="H860" s="223"/>
      <c r="J860" s="220" t="s">
        <v>246</v>
      </c>
    </row>
    <row r="861" spans="1:10" s="203" customFormat="1" x14ac:dyDescent="0.2">
      <c r="A861" s="221" t="s">
        <v>1943</v>
      </c>
      <c r="B861" s="216" t="s">
        <v>0</v>
      </c>
      <c r="C861" s="203" t="s">
        <v>476</v>
      </c>
      <c r="D861" s="59">
        <v>376212267995</v>
      </c>
      <c r="E861" s="68">
        <v>214512</v>
      </c>
      <c r="F861" s="260" t="s">
        <v>1077</v>
      </c>
      <c r="G861" s="227">
        <v>67.2</v>
      </c>
      <c r="H861" s="223"/>
      <c r="J861" s="220" t="s">
        <v>246</v>
      </c>
    </row>
    <row r="862" spans="1:10" x14ac:dyDescent="0.2">
      <c r="A862" s="119" t="s">
        <v>1943</v>
      </c>
      <c r="B862" s="20" t="s">
        <v>0</v>
      </c>
      <c r="C862" s="130"/>
      <c r="D862" s="60">
        <v>376266545999</v>
      </c>
      <c r="E862" s="113">
        <v>226895</v>
      </c>
      <c r="F862" s="121" t="s">
        <v>1078</v>
      </c>
      <c r="G862" s="122">
        <v>54.95</v>
      </c>
      <c r="H862" s="131"/>
      <c r="J862" s="123" t="s">
        <v>1067</v>
      </c>
    </row>
    <row r="863" spans="1:10" s="203" customFormat="1" x14ac:dyDescent="0.2">
      <c r="A863" s="221" t="s">
        <v>1943</v>
      </c>
      <c r="B863" s="216" t="s">
        <v>0</v>
      </c>
      <c r="C863" s="203" t="s">
        <v>1079</v>
      </c>
      <c r="D863" s="59">
        <v>376264930995</v>
      </c>
      <c r="E863" s="68">
        <v>350394</v>
      </c>
      <c r="F863" s="217"/>
      <c r="G863" s="218">
        <v>52.22</v>
      </c>
      <c r="H863" s="223"/>
      <c r="J863" s="220" t="s">
        <v>246</v>
      </c>
    </row>
    <row r="864" spans="1:10" x14ac:dyDescent="0.2">
      <c r="A864" s="119" t="s">
        <v>1943</v>
      </c>
      <c r="B864" s="20" t="s">
        <v>0</v>
      </c>
      <c r="C864" s="130"/>
      <c r="D864" s="60">
        <v>376270713997</v>
      </c>
      <c r="E864" s="113">
        <v>351215</v>
      </c>
      <c r="F864" s="121" t="s">
        <v>1080</v>
      </c>
      <c r="G864" s="122">
        <v>89.25</v>
      </c>
      <c r="H864" s="131"/>
      <c r="J864" s="123" t="s">
        <v>12</v>
      </c>
    </row>
    <row r="865" spans="1:13" x14ac:dyDescent="0.2">
      <c r="A865" s="213">
        <v>42521</v>
      </c>
      <c r="B865" s="115" t="s">
        <v>127</v>
      </c>
      <c r="C865" s="130"/>
      <c r="D865" s="60">
        <v>376263652996</v>
      </c>
      <c r="E865" s="113">
        <v>350330</v>
      </c>
      <c r="F865" s="121"/>
      <c r="G865" s="122">
        <v>46.9</v>
      </c>
      <c r="H865" s="131" t="s">
        <v>1081</v>
      </c>
      <c r="J865" s="155" t="s">
        <v>1082</v>
      </c>
      <c r="K865" s="155"/>
      <c r="L865" s="155"/>
      <c r="M865" s="155"/>
    </row>
    <row r="866" spans="1:13" x14ac:dyDescent="0.2">
      <c r="A866" s="213">
        <v>42522</v>
      </c>
      <c r="B866" s="115" t="s">
        <v>127</v>
      </c>
      <c r="C866" s="130"/>
      <c r="D866" s="60">
        <v>376263652996</v>
      </c>
      <c r="E866" s="113">
        <v>350330</v>
      </c>
      <c r="F866" s="121"/>
      <c r="G866" s="122">
        <f>18.53+35.99</f>
        <v>54.52</v>
      </c>
      <c r="H866" s="131" t="s">
        <v>1083</v>
      </c>
      <c r="J866" s="155" t="s">
        <v>1082</v>
      </c>
    </row>
    <row r="867" spans="1:13" x14ac:dyDescent="0.2">
      <c r="A867" s="213">
        <v>42524</v>
      </c>
      <c r="B867" s="115" t="s">
        <v>127</v>
      </c>
      <c r="C867" s="130"/>
      <c r="D867" s="60">
        <v>376244923995</v>
      </c>
      <c r="E867" s="113">
        <v>226743</v>
      </c>
      <c r="F867" s="121"/>
      <c r="G867" s="122">
        <v>53.95</v>
      </c>
      <c r="H867" s="131" t="s">
        <v>1084</v>
      </c>
      <c r="J867" s="155" t="s">
        <v>1085</v>
      </c>
      <c r="K867" s="155"/>
      <c r="L867" s="155"/>
      <c r="M867" s="155"/>
    </row>
    <row r="868" spans="1:13" x14ac:dyDescent="0.2">
      <c r="A868" s="213">
        <v>42521</v>
      </c>
      <c r="B868" s="115" t="s">
        <v>127</v>
      </c>
      <c r="C868" s="130"/>
      <c r="D868" s="60">
        <v>376269450999</v>
      </c>
      <c r="E868" s="113">
        <v>350960</v>
      </c>
      <c r="F868" s="121"/>
      <c r="G868" s="122">
        <v>61.95</v>
      </c>
      <c r="H868" s="131" t="s">
        <v>1086</v>
      </c>
      <c r="J868" s="156" t="s">
        <v>1087</v>
      </c>
    </row>
    <row r="869" spans="1:13" s="203" customFormat="1" x14ac:dyDescent="0.2">
      <c r="A869" s="215">
        <v>42521</v>
      </c>
      <c r="B869" s="216" t="s">
        <v>127</v>
      </c>
      <c r="C869" s="203" t="s">
        <v>151</v>
      </c>
      <c r="D869" s="59">
        <v>376271123998</v>
      </c>
      <c r="E869" s="68">
        <v>351306</v>
      </c>
      <c r="F869" s="217"/>
      <c r="G869" s="218">
        <v>38.9</v>
      </c>
      <c r="H869" s="223" t="s">
        <v>1088</v>
      </c>
      <c r="J869" s="267" t="s">
        <v>246</v>
      </c>
      <c r="K869" s="268"/>
      <c r="L869" s="268"/>
      <c r="M869" s="268"/>
    </row>
    <row r="870" spans="1:13" s="203" customFormat="1" x14ac:dyDescent="0.2">
      <c r="A870" s="215">
        <v>42521</v>
      </c>
      <c r="B870" s="216" t="s">
        <v>127</v>
      </c>
      <c r="C870" s="203" t="s">
        <v>151</v>
      </c>
      <c r="D870" s="59">
        <v>376270713997</v>
      </c>
      <c r="E870" s="68">
        <v>351215</v>
      </c>
      <c r="F870" s="217"/>
      <c r="G870" s="218">
        <f>106.27+84.53</f>
        <v>190.8</v>
      </c>
      <c r="H870" s="223" t="s">
        <v>1089</v>
      </c>
      <c r="J870" s="267" t="s">
        <v>246</v>
      </c>
    </row>
    <row r="871" spans="1:13" s="203" customFormat="1" x14ac:dyDescent="0.2">
      <c r="A871" s="215">
        <v>42521</v>
      </c>
      <c r="B871" s="216" t="s">
        <v>127</v>
      </c>
      <c r="C871" s="203" t="s">
        <v>151</v>
      </c>
      <c r="D871" s="59">
        <v>376270713997</v>
      </c>
      <c r="E871" s="68">
        <v>351215</v>
      </c>
      <c r="F871" s="217"/>
      <c r="G871" s="218">
        <f>35.47+82.53</f>
        <v>118</v>
      </c>
      <c r="H871" s="223" t="s">
        <v>1090</v>
      </c>
      <c r="J871" s="267" t="s">
        <v>246</v>
      </c>
    </row>
    <row r="872" spans="1:13" s="203" customFormat="1" x14ac:dyDescent="0.2">
      <c r="A872" s="215">
        <v>42521</v>
      </c>
      <c r="B872" s="216" t="s">
        <v>127</v>
      </c>
      <c r="C872" s="203" t="s">
        <v>151</v>
      </c>
      <c r="D872" s="59">
        <v>376270713997</v>
      </c>
      <c r="E872" s="68">
        <v>351215</v>
      </c>
      <c r="F872" s="217"/>
      <c r="G872" s="218">
        <f>23.84+9.98</f>
        <v>33.82</v>
      </c>
      <c r="H872" s="223" t="s">
        <v>1091</v>
      </c>
      <c r="J872" s="267" t="s">
        <v>246</v>
      </c>
    </row>
    <row r="873" spans="1:13" s="203" customFormat="1" x14ac:dyDescent="0.2">
      <c r="A873" s="215">
        <v>42521</v>
      </c>
      <c r="B873" s="216" t="s">
        <v>127</v>
      </c>
      <c r="C873" s="203" t="s">
        <v>151</v>
      </c>
      <c r="D873" s="59">
        <v>376270713997</v>
      </c>
      <c r="E873" s="68">
        <v>351215</v>
      </c>
      <c r="F873" s="217"/>
      <c r="G873" s="218">
        <f>10.29+23.84</f>
        <v>34.129999999999995</v>
      </c>
      <c r="H873" s="223" t="s">
        <v>1092</v>
      </c>
      <c r="J873" s="267" t="s">
        <v>246</v>
      </c>
    </row>
    <row r="874" spans="1:13" s="203" customFormat="1" x14ac:dyDescent="0.2">
      <c r="A874" s="215">
        <v>42521</v>
      </c>
      <c r="B874" s="216" t="s">
        <v>127</v>
      </c>
      <c r="C874" s="203" t="s">
        <v>151</v>
      </c>
      <c r="D874" s="59">
        <v>376270713997</v>
      </c>
      <c r="E874" s="68">
        <v>351215</v>
      </c>
      <c r="F874" s="217"/>
      <c r="G874" s="218">
        <f>182.67+101.33</f>
        <v>284</v>
      </c>
      <c r="H874" s="223" t="s">
        <v>1093</v>
      </c>
      <c r="J874" s="267" t="s">
        <v>246</v>
      </c>
    </row>
    <row r="875" spans="1:13" s="203" customFormat="1" x14ac:dyDescent="0.2">
      <c r="A875" s="215">
        <v>42521</v>
      </c>
      <c r="B875" s="216" t="s">
        <v>127</v>
      </c>
      <c r="C875" s="203" t="s">
        <v>151</v>
      </c>
      <c r="D875" s="59">
        <v>376270713997</v>
      </c>
      <c r="E875" s="68">
        <v>351215</v>
      </c>
      <c r="F875" s="217"/>
      <c r="G875" s="218">
        <f>25.84+41.75</f>
        <v>67.59</v>
      </c>
      <c r="H875" s="223" t="s">
        <v>1094</v>
      </c>
      <c r="J875" s="267" t="s">
        <v>246</v>
      </c>
    </row>
    <row r="876" spans="1:13" s="203" customFormat="1" x14ac:dyDescent="0.2">
      <c r="A876" s="215">
        <v>42521</v>
      </c>
      <c r="B876" s="216" t="s">
        <v>127</v>
      </c>
      <c r="C876" s="203" t="s">
        <v>151</v>
      </c>
      <c r="D876" s="59">
        <v>376270713997</v>
      </c>
      <c r="E876" s="68">
        <v>351215</v>
      </c>
      <c r="F876" s="217"/>
      <c r="G876" s="218">
        <f>80.56+34.44</f>
        <v>115</v>
      </c>
      <c r="H876" s="223" t="s">
        <v>1095</v>
      </c>
      <c r="J876" s="267" t="s">
        <v>246</v>
      </c>
    </row>
    <row r="877" spans="1:13" s="203" customFormat="1" x14ac:dyDescent="0.2">
      <c r="A877" s="215">
        <v>42521</v>
      </c>
      <c r="B877" s="216" t="s">
        <v>127</v>
      </c>
      <c r="C877" s="203" t="s">
        <v>151</v>
      </c>
      <c r="D877" s="59">
        <v>376270713997</v>
      </c>
      <c r="E877" s="68">
        <v>351215</v>
      </c>
      <c r="F877" s="217"/>
      <c r="G877" s="218">
        <f>20.25+41.75</f>
        <v>62</v>
      </c>
      <c r="H877" s="223" t="s">
        <v>1096</v>
      </c>
      <c r="J877" s="267" t="s">
        <v>246</v>
      </c>
    </row>
    <row r="878" spans="1:13" s="203" customFormat="1" x14ac:dyDescent="0.2">
      <c r="A878" s="215">
        <v>42521</v>
      </c>
      <c r="B878" s="216" t="s">
        <v>127</v>
      </c>
      <c r="C878" s="203" t="s">
        <v>151</v>
      </c>
      <c r="D878" s="59">
        <v>376270713997</v>
      </c>
      <c r="E878" s="68">
        <v>351215</v>
      </c>
      <c r="F878" s="217"/>
      <c r="G878" s="218">
        <f>36.38+25</f>
        <v>61.38</v>
      </c>
      <c r="H878" s="223" t="s">
        <v>1097</v>
      </c>
      <c r="J878" s="267" t="s">
        <v>246</v>
      </c>
    </row>
    <row r="879" spans="1:13" s="203" customFormat="1" x14ac:dyDescent="0.2">
      <c r="A879" s="215">
        <v>42521</v>
      </c>
      <c r="B879" s="216" t="s">
        <v>127</v>
      </c>
      <c r="C879" s="203" t="s">
        <v>151</v>
      </c>
      <c r="D879" s="59">
        <v>376270713997</v>
      </c>
      <c r="E879" s="68">
        <v>351215</v>
      </c>
      <c r="F879" s="217"/>
      <c r="G879" s="218">
        <f>130.81+77.09</f>
        <v>207.9</v>
      </c>
      <c r="H879" s="223" t="s">
        <v>1098</v>
      </c>
      <c r="J879" s="267" t="s">
        <v>246</v>
      </c>
    </row>
    <row r="880" spans="1:13" s="203" customFormat="1" x14ac:dyDescent="0.2">
      <c r="A880" s="215">
        <v>42521</v>
      </c>
      <c r="B880" s="216" t="s">
        <v>127</v>
      </c>
      <c r="C880" s="203" t="s">
        <v>151</v>
      </c>
      <c r="D880" s="59">
        <v>376270713997</v>
      </c>
      <c r="E880" s="68">
        <v>351215</v>
      </c>
      <c r="F880" s="217"/>
      <c r="G880" s="218">
        <f>73+90.14</f>
        <v>163.13999999999999</v>
      </c>
      <c r="H880" s="223" t="s">
        <v>1099</v>
      </c>
      <c r="J880" s="267" t="s">
        <v>246</v>
      </c>
    </row>
    <row r="881" spans="1:10" s="203" customFormat="1" x14ac:dyDescent="0.2">
      <c r="A881" s="215">
        <v>42521</v>
      </c>
      <c r="B881" s="216" t="s">
        <v>127</v>
      </c>
      <c r="C881" s="203" t="s">
        <v>151</v>
      </c>
      <c r="D881" s="59">
        <v>376270713997</v>
      </c>
      <c r="E881" s="68">
        <v>351215</v>
      </c>
      <c r="F881" s="217"/>
      <c r="G881" s="218">
        <f>23.71+49.73</f>
        <v>73.44</v>
      </c>
      <c r="H881" s="223" t="s">
        <v>1100</v>
      </c>
      <c r="J881" s="267" t="s">
        <v>246</v>
      </c>
    </row>
    <row r="882" spans="1:10" s="203" customFormat="1" x14ac:dyDescent="0.2">
      <c r="A882" s="215">
        <v>42521</v>
      </c>
      <c r="B882" s="216" t="s">
        <v>127</v>
      </c>
      <c r="C882" s="203" t="s">
        <v>151</v>
      </c>
      <c r="D882" s="59">
        <v>376270713997</v>
      </c>
      <c r="E882" s="68">
        <v>351215</v>
      </c>
      <c r="F882" s="217"/>
      <c r="G882" s="218">
        <f>10.67+22</f>
        <v>32.67</v>
      </c>
      <c r="H882" s="223" t="s">
        <v>1101</v>
      </c>
      <c r="J882" s="267" t="s">
        <v>246</v>
      </c>
    </row>
    <row r="883" spans="1:10" s="203" customFormat="1" x14ac:dyDescent="0.2">
      <c r="A883" s="215">
        <v>42521</v>
      </c>
      <c r="B883" s="216" t="s">
        <v>127</v>
      </c>
      <c r="C883" s="203" t="s">
        <v>151</v>
      </c>
      <c r="D883" s="59">
        <v>376270713997</v>
      </c>
      <c r="E883" s="68">
        <v>351215</v>
      </c>
      <c r="F883" s="217"/>
      <c r="G883" s="218">
        <f>85.98+74.16</f>
        <v>160.13999999999999</v>
      </c>
      <c r="H883" s="223" t="s">
        <v>1102</v>
      </c>
      <c r="J883" s="267" t="s">
        <v>246</v>
      </c>
    </row>
    <row r="884" spans="1:10" s="203" customFormat="1" x14ac:dyDescent="0.2">
      <c r="A884" s="215">
        <v>42521</v>
      </c>
      <c r="B884" s="216" t="s">
        <v>127</v>
      </c>
      <c r="C884" s="203" t="s">
        <v>151</v>
      </c>
      <c r="D884" s="59">
        <v>376270713997</v>
      </c>
      <c r="E884" s="68">
        <v>351215</v>
      </c>
      <c r="F884" s="217"/>
      <c r="G884" s="218">
        <f>67+40.56</f>
        <v>107.56</v>
      </c>
      <c r="H884" s="223" t="s">
        <v>1103</v>
      </c>
      <c r="J884" s="267" t="s">
        <v>246</v>
      </c>
    </row>
    <row r="885" spans="1:10" s="203" customFormat="1" x14ac:dyDescent="0.2">
      <c r="A885" s="215">
        <v>42521</v>
      </c>
      <c r="B885" s="216" t="s">
        <v>127</v>
      </c>
      <c r="C885" s="203" t="s">
        <v>151</v>
      </c>
      <c r="D885" s="59">
        <v>376270713997</v>
      </c>
      <c r="E885" s="68">
        <v>351215</v>
      </c>
      <c r="F885" s="217"/>
      <c r="G885" s="218">
        <f>38.8+20.47</f>
        <v>59.269999999999996</v>
      </c>
      <c r="H885" s="223" t="s">
        <v>1104</v>
      </c>
      <c r="J885" s="267" t="s">
        <v>246</v>
      </c>
    </row>
    <row r="886" spans="1:10" s="203" customFormat="1" x14ac:dyDescent="0.2">
      <c r="A886" s="215">
        <v>42521</v>
      </c>
      <c r="B886" s="216" t="s">
        <v>127</v>
      </c>
      <c r="C886" s="203" t="s">
        <v>151</v>
      </c>
      <c r="D886" s="59">
        <v>376270713997</v>
      </c>
      <c r="E886" s="68">
        <v>351215</v>
      </c>
      <c r="F886" s="217"/>
      <c r="G886" s="218">
        <f>77.7+52.24</f>
        <v>129.94</v>
      </c>
      <c r="H886" s="223" t="s">
        <v>1105</v>
      </c>
      <c r="J886" s="267" t="s">
        <v>246</v>
      </c>
    </row>
    <row r="887" spans="1:10" s="203" customFormat="1" x14ac:dyDescent="0.2">
      <c r="A887" s="215">
        <v>42521</v>
      </c>
      <c r="B887" s="216" t="s">
        <v>127</v>
      </c>
      <c r="C887" s="203" t="s">
        <v>151</v>
      </c>
      <c r="D887" s="59">
        <v>376270713997</v>
      </c>
      <c r="E887" s="68">
        <v>351215</v>
      </c>
      <c r="F887" s="217"/>
      <c r="G887" s="218">
        <f>79.16+105.29</f>
        <v>184.45</v>
      </c>
      <c r="H887" s="223" t="s">
        <v>1106</v>
      </c>
      <c r="J887" s="267" t="s">
        <v>246</v>
      </c>
    </row>
    <row r="888" spans="1:10" s="203" customFormat="1" x14ac:dyDescent="0.2">
      <c r="A888" s="215">
        <v>42521</v>
      </c>
      <c r="B888" s="216" t="s">
        <v>127</v>
      </c>
      <c r="C888" s="203" t="s">
        <v>151</v>
      </c>
      <c r="D888" s="59">
        <v>376270713997</v>
      </c>
      <c r="E888" s="68">
        <v>351215</v>
      </c>
      <c r="F888" s="217"/>
      <c r="G888" s="218">
        <f>175.55+124.48</f>
        <v>300.03000000000003</v>
      </c>
      <c r="H888" s="223" t="s">
        <v>1107</v>
      </c>
      <c r="J888" s="267" t="s">
        <v>246</v>
      </c>
    </row>
    <row r="889" spans="1:10" s="203" customFormat="1" x14ac:dyDescent="0.2">
      <c r="A889" s="215">
        <v>42521</v>
      </c>
      <c r="B889" s="216" t="s">
        <v>127</v>
      </c>
      <c r="C889" s="203" t="s">
        <v>151</v>
      </c>
      <c r="D889" s="59">
        <v>376270713997</v>
      </c>
      <c r="E889" s="68">
        <v>351215</v>
      </c>
      <c r="F889" s="217"/>
      <c r="G889" s="218">
        <f>33.59+42.01</f>
        <v>75.599999999999994</v>
      </c>
      <c r="H889" s="223" t="s">
        <v>1108</v>
      </c>
      <c r="J889" s="267" t="s">
        <v>246</v>
      </c>
    </row>
    <row r="890" spans="1:10" s="203" customFormat="1" x14ac:dyDescent="0.2">
      <c r="A890" s="215">
        <v>42521</v>
      </c>
      <c r="B890" s="216" t="s">
        <v>127</v>
      </c>
      <c r="C890" s="203" t="s">
        <v>151</v>
      </c>
      <c r="D890" s="59">
        <v>376270713997</v>
      </c>
      <c r="E890" s="68">
        <v>351215</v>
      </c>
      <c r="F890" s="217"/>
      <c r="G890" s="218">
        <f>193.15+125.57</f>
        <v>318.72000000000003</v>
      </c>
      <c r="H890" s="223" t="s">
        <v>1109</v>
      </c>
      <c r="J890" s="267" t="s">
        <v>246</v>
      </c>
    </row>
    <row r="891" spans="1:10" s="203" customFormat="1" x14ac:dyDescent="0.2">
      <c r="A891" s="215">
        <v>42521</v>
      </c>
      <c r="B891" s="216" t="s">
        <v>127</v>
      </c>
      <c r="C891" s="203" t="s">
        <v>151</v>
      </c>
      <c r="D891" s="59">
        <v>376270713997</v>
      </c>
      <c r="E891" s="68">
        <v>351215</v>
      </c>
      <c r="F891" s="217"/>
      <c r="G891" s="218">
        <f>11.25+27.2</f>
        <v>38.450000000000003</v>
      </c>
      <c r="H891" s="223" t="s">
        <v>1110</v>
      </c>
      <c r="J891" s="267" t="s">
        <v>246</v>
      </c>
    </row>
    <row r="892" spans="1:10" s="203" customFormat="1" x14ac:dyDescent="0.2">
      <c r="A892" s="215">
        <v>42521</v>
      </c>
      <c r="B892" s="216" t="s">
        <v>127</v>
      </c>
      <c r="C892" s="203" t="s">
        <v>151</v>
      </c>
      <c r="D892" s="59">
        <v>376270713997</v>
      </c>
      <c r="E892" s="68">
        <v>351215</v>
      </c>
      <c r="F892" s="217"/>
      <c r="G892" s="218">
        <f>69.9+163.37</f>
        <v>233.27</v>
      </c>
      <c r="H892" s="223" t="s">
        <v>1111</v>
      </c>
      <c r="J892" s="267" t="s">
        <v>246</v>
      </c>
    </row>
    <row r="893" spans="1:10" s="203" customFormat="1" x14ac:dyDescent="0.2">
      <c r="A893" s="215">
        <v>42521</v>
      </c>
      <c r="B893" s="216" t="s">
        <v>127</v>
      </c>
      <c r="C893" s="203" t="s">
        <v>151</v>
      </c>
      <c r="D893" s="59">
        <v>376270713997</v>
      </c>
      <c r="E893" s="68">
        <v>351215</v>
      </c>
      <c r="F893" s="217"/>
      <c r="G893" s="218">
        <f>59.8+30.92</f>
        <v>90.72</v>
      </c>
      <c r="H893" s="223" t="s">
        <v>1112</v>
      </c>
      <c r="J893" s="267" t="s">
        <v>246</v>
      </c>
    </row>
    <row r="894" spans="1:10" s="203" customFormat="1" x14ac:dyDescent="0.2">
      <c r="A894" s="215">
        <v>42521</v>
      </c>
      <c r="B894" s="216" t="s">
        <v>127</v>
      </c>
      <c r="C894" s="203" t="s">
        <v>151</v>
      </c>
      <c r="D894" s="59">
        <v>376270713997</v>
      </c>
      <c r="E894" s="68">
        <v>351215</v>
      </c>
      <c r="F894" s="217"/>
      <c r="G894" s="218">
        <f>36.3+67.58</f>
        <v>103.88</v>
      </c>
      <c r="H894" s="223" t="s">
        <v>1113</v>
      </c>
      <c r="J894" s="267" t="s">
        <v>246</v>
      </c>
    </row>
    <row r="895" spans="1:10" s="203" customFormat="1" x14ac:dyDescent="0.2">
      <c r="A895" s="215">
        <v>42521</v>
      </c>
      <c r="B895" s="216" t="s">
        <v>127</v>
      </c>
      <c r="C895" s="203" t="s">
        <v>151</v>
      </c>
      <c r="D895" s="59">
        <v>376270713997</v>
      </c>
      <c r="E895" s="68">
        <v>351215</v>
      </c>
      <c r="F895" s="217"/>
      <c r="G895" s="218">
        <f>37.1+11.9</f>
        <v>49</v>
      </c>
      <c r="H895" s="223" t="s">
        <v>1114</v>
      </c>
      <c r="J895" s="267" t="s">
        <v>246</v>
      </c>
    </row>
    <row r="896" spans="1:10" s="203" customFormat="1" x14ac:dyDescent="0.2">
      <c r="A896" s="215">
        <v>42521</v>
      </c>
      <c r="B896" s="216" t="s">
        <v>127</v>
      </c>
      <c r="C896" s="203" t="s">
        <v>151</v>
      </c>
      <c r="D896" s="59">
        <v>376270713997</v>
      </c>
      <c r="E896" s="68">
        <v>351215</v>
      </c>
      <c r="F896" s="217"/>
      <c r="G896" s="218">
        <f>36.92+23.45</f>
        <v>60.370000000000005</v>
      </c>
      <c r="H896" s="223" t="s">
        <v>1115</v>
      </c>
      <c r="J896" s="267" t="s">
        <v>246</v>
      </c>
    </row>
    <row r="897" spans="1:10" s="203" customFormat="1" x14ac:dyDescent="0.2">
      <c r="A897" s="215">
        <v>42521</v>
      </c>
      <c r="B897" s="216" t="s">
        <v>127</v>
      </c>
      <c r="C897" s="203" t="s">
        <v>151</v>
      </c>
      <c r="D897" s="59">
        <v>376270713997</v>
      </c>
      <c r="E897" s="68">
        <v>351215</v>
      </c>
      <c r="F897" s="217"/>
      <c r="G897" s="218">
        <f>34.14+60.9</f>
        <v>95.039999999999992</v>
      </c>
      <c r="H897" s="223" t="s">
        <v>1116</v>
      </c>
      <c r="J897" s="267" t="s">
        <v>246</v>
      </c>
    </row>
    <row r="898" spans="1:10" s="203" customFormat="1" x14ac:dyDescent="0.2">
      <c r="A898" s="215">
        <v>42521</v>
      </c>
      <c r="B898" s="216" t="s">
        <v>127</v>
      </c>
      <c r="C898" s="203" t="s">
        <v>151</v>
      </c>
      <c r="D898" s="59">
        <v>376270713997</v>
      </c>
      <c r="E898" s="68">
        <v>351215</v>
      </c>
      <c r="F898" s="217"/>
      <c r="G898" s="218">
        <f>34.74+23.03</f>
        <v>57.77</v>
      </c>
      <c r="H898" s="223" t="s">
        <v>1117</v>
      </c>
      <c r="J898" s="267" t="s">
        <v>246</v>
      </c>
    </row>
    <row r="899" spans="1:10" s="203" customFormat="1" x14ac:dyDescent="0.2">
      <c r="A899" s="215">
        <v>42521</v>
      </c>
      <c r="B899" s="216" t="s">
        <v>127</v>
      </c>
      <c r="C899" s="203" t="s">
        <v>151</v>
      </c>
      <c r="D899" s="59">
        <v>376270713997</v>
      </c>
      <c r="E899" s="68">
        <v>351215</v>
      </c>
      <c r="F899" s="217"/>
      <c r="G899" s="218">
        <f>38.34+14.61</f>
        <v>52.95</v>
      </c>
      <c r="H899" s="223" t="s">
        <v>1118</v>
      </c>
      <c r="J899" s="267" t="s">
        <v>246</v>
      </c>
    </row>
    <row r="900" spans="1:10" s="203" customFormat="1" x14ac:dyDescent="0.2">
      <c r="A900" s="215">
        <v>42521</v>
      </c>
      <c r="B900" s="216" t="s">
        <v>127</v>
      </c>
      <c r="C900" s="203" t="s">
        <v>151</v>
      </c>
      <c r="D900" s="59">
        <v>376270713997</v>
      </c>
      <c r="E900" s="68">
        <v>351215</v>
      </c>
      <c r="F900" s="217"/>
      <c r="G900" s="218">
        <f>13.75+25.7</f>
        <v>39.450000000000003</v>
      </c>
      <c r="H900" s="223" t="s">
        <v>1119</v>
      </c>
      <c r="J900" s="267" t="s">
        <v>246</v>
      </c>
    </row>
    <row r="901" spans="1:10" s="203" customFormat="1" x14ac:dyDescent="0.2">
      <c r="A901" s="215">
        <v>42521</v>
      </c>
      <c r="B901" s="216" t="s">
        <v>127</v>
      </c>
      <c r="C901" s="203" t="s">
        <v>151</v>
      </c>
      <c r="D901" s="59">
        <v>376270713997</v>
      </c>
      <c r="E901" s="68">
        <v>351215</v>
      </c>
      <c r="F901" s="217"/>
      <c r="G901" s="218">
        <f>57.6+21.38</f>
        <v>78.98</v>
      </c>
      <c r="H901" s="223" t="s">
        <v>1120</v>
      </c>
      <c r="J901" s="267" t="s">
        <v>246</v>
      </c>
    </row>
    <row r="902" spans="1:10" s="203" customFormat="1" x14ac:dyDescent="0.2">
      <c r="A902" s="215">
        <v>42521</v>
      </c>
      <c r="B902" s="216" t="s">
        <v>127</v>
      </c>
      <c r="C902" s="203" t="s">
        <v>151</v>
      </c>
      <c r="D902" s="59">
        <v>376270713997</v>
      </c>
      <c r="E902" s="68">
        <v>351215</v>
      </c>
      <c r="F902" s="217"/>
      <c r="G902" s="218">
        <f>30.16+48.68</f>
        <v>78.84</v>
      </c>
      <c r="H902" s="223" t="s">
        <v>1121</v>
      </c>
      <c r="J902" s="267" t="s">
        <v>246</v>
      </c>
    </row>
    <row r="903" spans="1:10" s="203" customFormat="1" x14ac:dyDescent="0.2">
      <c r="A903" s="215">
        <v>42521</v>
      </c>
      <c r="B903" s="216" t="s">
        <v>127</v>
      </c>
      <c r="C903" s="203" t="s">
        <v>151</v>
      </c>
      <c r="D903" s="59">
        <v>376270713997</v>
      </c>
      <c r="E903" s="68">
        <v>351215</v>
      </c>
      <c r="F903" s="217"/>
      <c r="G903" s="218">
        <f>127.46+96.01</f>
        <v>223.47</v>
      </c>
      <c r="H903" s="223" t="s">
        <v>1122</v>
      </c>
      <c r="J903" s="267" t="s">
        <v>246</v>
      </c>
    </row>
    <row r="904" spans="1:10" s="203" customFormat="1" x14ac:dyDescent="0.2">
      <c r="A904" s="215">
        <v>42521</v>
      </c>
      <c r="B904" s="216" t="s">
        <v>127</v>
      </c>
      <c r="C904" s="203" t="s">
        <v>151</v>
      </c>
      <c r="D904" s="59">
        <v>376270713997</v>
      </c>
      <c r="E904" s="68">
        <v>351215</v>
      </c>
      <c r="F904" s="217"/>
      <c r="G904" s="218">
        <f>54.2+121.8</f>
        <v>176</v>
      </c>
      <c r="H904" s="223" t="s">
        <v>1123</v>
      </c>
      <c r="J904" s="267" t="s">
        <v>246</v>
      </c>
    </row>
    <row r="905" spans="1:10" s="203" customFormat="1" x14ac:dyDescent="0.2">
      <c r="A905" s="215">
        <v>42521</v>
      </c>
      <c r="B905" s="216" t="s">
        <v>127</v>
      </c>
      <c r="C905" s="203" t="s">
        <v>151</v>
      </c>
      <c r="D905" s="59">
        <v>376270713997</v>
      </c>
      <c r="E905" s="68">
        <v>351215</v>
      </c>
      <c r="F905" s="217"/>
      <c r="G905" s="218">
        <f>58.87+79.12</f>
        <v>137.99</v>
      </c>
      <c r="H905" s="223" t="s">
        <v>1124</v>
      </c>
      <c r="J905" s="267" t="s">
        <v>246</v>
      </c>
    </row>
    <row r="906" spans="1:10" s="203" customFormat="1" x14ac:dyDescent="0.2">
      <c r="A906" s="215">
        <v>42521</v>
      </c>
      <c r="B906" s="216" t="s">
        <v>127</v>
      </c>
      <c r="C906" s="203" t="s">
        <v>151</v>
      </c>
      <c r="D906" s="59">
        <v>376270713997</v>
      </c>
      <c r="E906" s="68">
        <v>351215</v>
      </c>
      <c r="F906" s="217"/>
      <c r="G906" s="218">
        <f>58.03+103.24</f>
        <v>161.26999999999998</v>
      </c>
      <c r="H906" s="223" t="s">
        <v>1125</v>
      </c>
      <c r="J906" s="267" t="s">
        <v>246</v>
      </c>
    </row>
    <row r="907" spans="1:10" s="203" customFormat="1" x14ac:dyDescent="0.2">
      <c r="A907" s="215">
        <v>42521</v>
      </c>
      <c r="B907" s="216" t="s">
        <v>127</v>
      </c>
      <c r="C907" s="203" t="s">
        <v>151</v>
      </c>
      <c r="D907" s="59">
        <v>376270713997</v>
      </c>
      <c r="E907" s="68">
        <v>351215</v>
      </c>
      <c r="F907" s="217"/>
      <c r="G907" s="218">
        <f>156.27+73.73</f>
        <v>230</v>
      </c>
      <c r="H907" s="223" t="s">
        <v>1126</v>
      </c>
      <c r="J907" s="267" t="s">
        <v>246</v>
      </c>
    </row>
    <row r="908" spans="1:10" s="203" customFormat="1" x14ac:dyDescent="0.2">
      <c r="A908" s="215">
        <v>42521</v>
      </c>
      <c r="B908" s="216" t="s">
        <v>127</v>
      </c>
      <c r="C908" s="203" t="s">
        <v>151</v>
      </c>
      <c r="D908" s="59">
        <v>376270713997</v>
      </c>
      <c r="E908" s="68">
        <v>351215</v>
      </c>
      <c r="F908" s="217"/>
      <c r="G908" s="218">
        <f>100.84+71.16</f>
        <v>172</v>
      </c>
      <c r="H908" s="223" t="s">
        <v>1127</v>
      </c>
      <c r="J908" s="267" t="s">
        <v>246</v>
      </c>
    </row>
    <row r="909" spans="1:10" s="203" customFormat="1" x14ac:dyDescent="0.2">
      <c r="A909" s="215">
        <v>42521</v>
      </c>
      <c r="B909" s="216" t="s">
        <v>127</v>
      </c>
      <c r="C909" s="203" t="s">
        <v>151</v>
      </c>
      <c r="D909" s="59">
        <v>376270713997</v>
      </c>
      <c r="E909" s="68">
        <v>351215</v>
      </c>
      <c r="F909" s="217"/>
      <c r="G909" s="218">
        <f>20.05+38.8</f>
        <v>58.849999999999994</v>
      </c>
      <c r="H909" s="223" t="s">
        <v>1128</v>
      </c>
      <c r="J909" s="267" t="s">
        <v>246</v>
      </c>
    </row>
    <row r="910" spans="1:10" s="203" customFormat="1" x14ac:dyDescent="0.2">
      <c r="A910" s="215">
        <v>42521</v>
      </c>
      <c r="B910" s="216" t="s">
        <v>127</v>
      </c>
      <c r="C910" s="203" t="s">
        <v>151</v>
      </c>
      <c r="D910" s="59">
        <v>376270713997</v>
      </c>
      <c r="E910" s="68">
        <v>351215</v>
      </c>
      <c r="F910" s="217"/>
      <c r="G910" s="218">
        <f>34.74+22.11</f>
        <v>56.85</v>
      </c>
      <c r="H910" s="223" t="s">
        <v>1129</v>
      </c>
      <c r="J910" s="267" t="s">
        <v>246</v>
      </c>
    </row>
    <row r="911" spans="1:10" s="203" customFormat="1" x14ac:dyDescent="0.2">
      <c r="A911" s="215">
        <v>42521</v>
      </c>
      <c r="B911" s="216" t="s">
        <v>127</v>
      </c>
      <c r="C911" s="203" t="s">
        <v>151</v>
      </c>
      <c r="D911" s="59">
        <v>376270713997</v>
      </c>
      <c r="E911" s="68">
        <v>351215</v>
      </c>
      <c r="F911" s="217"/>
      <c r="G911" s="218">
        <f>37.53+71.8</f>
        <v>109.33</v>
      </c>
      <c r="H911" s="223" t="s">
        <v>1130</v>
      </c>
      <c r="J911" s="267" t="s">
        <v>246</v>
      </c>
    </row>
    <row r="912" spans="1:10" s="203" customFormat="1" x14ac:dyDescent="0.2">
      <c r="A912" s="215">
        <v>42521</v>
      </c>
      <c r="B912" s="216" t="s">
        <v>127</v>
      </c>
      <c r="C912" s="203" t="s">
        <v>151</v>
      </c>
      <c r="D912" s="59">
        <v>376270713997</v>
      </c>
      <c r="E912" s="68">
        <v>351215</v>
      </c>
      <c r="F912" s="217"/>
      <c r="G912" s="218">
        <f>70.73+45.56</f>
        <v>116.29</v>
      </c>
      <c r="H912" s="223" t="s">
        <v>1131</v>
      </c>
      <c r="J912" s="267" t="s">
        <v>246</v>
      </c>
    </row>
    <row r="913" spans="1:10" s="203" customFormat="1" x14ac:dyDescent="0.2">
      <c r="A913" s="215">
        <v>42521</v>
      </c>
      <c r="B913" s="216" t="s">
        <v>127</v>
      </c>
      <c r="C913" s="203" t="s">
        <v>151</v>
      </c>
      <c r="D913" s="59">
        <v>376270713997</v>
      </c>
      <c r="E913" s="68">
        <v>351215</v>
      </c>
      <c r="F913" s="217"/>
      <c r="G913" s="218">
        <f>38.4+79.59</f>
        <v>117.99000000000001</v>
      </c>
      <c r="H913" s="223" t="s">
        <v>1132</v>
      </c>
      <c r="J913" s="267" t="s">
        <v>246</v>
      </c>
    </row>
    <row r="914" spans="1:10" s="203" customFormat="1" x14ac:dyDescent="0.2">
      <c r="A914" s="215">
        <v>42521</v>
      </c>
      <c r="B914" s="216" t="s">
        <v>127</v>
      </c>
      <c r="C914" s="203" t="s">
        <v>151</v>
      </c>
      <c r="D914" s="59">
        <v>376270713997</v>
      </c>
      <c r="E914" s="68">
        <v>351215</v>
      </c>
      <c r="F914" s="217"/>
      <c r="G914" s="218">
        <f>115.06+88.15</f>
        <v>203.21</v>
      </c>
      <c r="H914" s="223" t="s">
        <v>1133</v>
      </c>
      <c r="J914" s="267" t="s">
        <v>246</v>
      </c>
    </row>
    <row r="915" spans="1:10" s="203" customFormat="1" x14ac:dyDescent="0.2">
      <c r="A915" s="215">
        <v>42521</v>
      </c>
      <c r="B915" s="216" t="s">
        <v>127</v>
      </c>
      <c r="C915" s="203" t="s">
        <v>151</v>
      </c>
      <c r="D915" s="59">
        <v>376270713997</v>
      </c>
      <c r="E915" s="68">
        <v>351215</v>
      </c>
      <c r="F915" s="217"/>
      <c r="G915" s="218">
        <f>35.47+82.53</f>
        <v>118</v>
      </c>
      <c r="H915" s="223" t="s">
        <v>1134</v>
      </c>
      <c r="J915" s="267" t="s">
        <v>246</v>
      </c>
    </row>
    <row r="916" spans="1:10" s="203" customFormat="1" x14ac:dyDescent="0.2">
      <c r="A916" s="215">
        <v>42521</v>
      </c>
      <c r="B916" s="216" t="s">
        <v>127</v>
      </c>
      <c r="C916" s="203" t="s">
        <v>151</v>
      </c>
      <c r="D916" s="59">
        <v>376270713997</v>
      </c>
      <c r="E916" s="68">
        <v>351215</v>
      </c>
      <c r="F916" s="217"/>
      <c r="G916" s="218">
        <f>82.53+35.47</f>
        <v>118</v>
      </c>
      <c r="H916" s="223" t="s">
        <v>1135</v>
      </c>
      <c r="J916" s="267" t="s">
        <v>246</v>
      </c>
    </row>
    <row r="917" spans="1:10" s="203" customFormat="1" x14ac:dyDescent="0.2">
      <c r="A917" s="215">
        <v>42521</v>
      </c>
      <c r="B917" s="216" t="s">
        <v>127</v>
      </c>
      <c r="C917" s="203" t="s">
        <v>151</v>
      </c>
      <c r="D917" s="59">
        <v>376270713997</v>
      </c>
      <c r="E917" s="68">
        <v>351215</v>
      </c>
      <c r="F917" s="217"/>
      <c r="G917" s="218">
        <f>26.88+43.8</f>
        <v>70.679999999999993</v>
      </c>
      <c r="H917" s="223" t="s">
        <v>1136</v>
      </c>
      <c r="J917" s="267" t="s">
        <v>246</v>
      </c>
    </row>
    <row r="918" spans="1:10" s="203" customFormat="1" x14ac:dyDescent="0.2">
      <c r="A918" s="215">
        <v>42521</v>
      </c>
      <c r="B918" s="216" t="s">
        <v>127</v>
      </c>
      <c r="C918" s="203" t="s">
        <v>151</v>
      </c>
      <c r="D918" s="59">
        <v>376270713997</v>
      </c>
      <c r="E918" s="68">
        <v>351215</v>
      </c>
      <c r="F918" s="217"/>
      <c r="G918" s="218">
        <f>70.73+35.47</f>
        <v>106.2</v>
      </c>
      <c r="H918" s="223" t="s">
        <v>1137</v>
      </c>
      <c r="J918" s="267" t="s">
        <v>246</v>
      </c>
    </row>
    <row r="919" spans="1:10" s="203" customFormat="1" x14ac:dyDescent="0.2">
      <c r="A919" s="215">
        <v>42521</v>
      </c>
      <c r="B919" s="216" t="s">
        <v>127</v>
      </c>
      <c r="C919" s="203" t="s">
        <v>151</v>
      </c>
      <c r="D919" s="59">
        <v>376270713997</v>
      </c>
      <c r="E919" s="68">
        <v>351215</v>
      </c>
      <c r="F919" s="217"/>
      <c r="G919" s="218">
        <f>27.21+43.8</f>
        <v>71.009999999999991</v>
      </c>
      <c r="H919" s="223" t="s">
        <v>1138</v>
      </c>
      <c r="J919" s="267" t="s">
        <v>246</v>
      </c>
    </row>
    <row r="920" spans="1:10" s="203" customFormat="1" x14ac:dyDescent="0.2">
      <c r="A920" s="215">
        <v>42521</v>
      </c>
      <c r="B920" s="216" t="s">
        <v>127</v>
      </c>
      <c r="C920" s="203" t="s">
        <v>151</v>
      </c>
      <c r="D920" s="59">
        <v>376270713997</v>
      </c>
      <c r="E920" s="68">
        <v>351215</v>
      </c>
      <c r="F920" s="217"/>
      <c r="G920" s="218">
        <f>15.74+7.21</f>
        <v>22.95</v>
      </c>
      <c r="H920" s="223" t="s">
        <v>1139</v>
      </c>
      <c r="J920" s="267" t="s">
        <v>246</v>
      </c>
    </row>
    <row r="921" spans="1:10" s="203" customFormat="1" x14ac:dyDescent="0.2">
      <c r="A921" s="215">
        <v>42521</v>
      </c>
      <c r="B921" s="216" t="s">
        <v>127</v>
      </c>
      <c r="C921" s="203" t="s">
        <v>151</v>
      </c>
      <c r="D921" s="59">
        <v>376270713997</v>
      </c>
      <c r="E921" s="68">
        <v>351215</v>
      </c>
      <c r="F921" s="217"/>
      <c r="G921" s="218">
        <f>86.31+115.05</f>
        <v>201.36</v>
      </c>
      <c r="H921" s="223" t="s">
        <v>1140</v>
      </c>
      <c r="J921" s="267" t="s">
        <v>246</v>
      </c>
    </row>
    <row r="922" spans="1:10" s="203" customFormat="1" x14ac:dyDescent="0.2">
      <c r="A922" s="215">
        <v>42521</v>
      </c>
      <c r="B922" s="216" t="s">
        <v>127</v>
      </c>
      <c r="C922" s="203" t="s">
        <v>151</v>
      </c>
      <c r="D922" s="59">
        <v>376270713997</v>
      </c>
      <c r="E922" s="68">
        <v>351215</v>
      </c>
      <c r="F922" s="217"/>
      <c r="G922" s="218">
        <f>109.91+31.99</f>
        <v>141.9</v>
      </c>
      <c r="H922" s="223" t="s">
        <v>1141</v>
      </c>
      <c r="J922" s="267" t="s">
        <v>246</v>
      </c>
    </row>
    <row r="923" spans="1:10" s="203" customFormat="1" x14ac:dyDescent="0.2">
      <c r="A923" s="215">
        <v>42521</v>
      </c>
      <c r="B923" s="216" t="s">
        <v>127</v>
      </c>
      <c r="C923" s="203" t="s">
        <v>151</v>
      </c>
      <c r="D923" s="59">
        <v>376270713997</v>
      </c>
      <c r="E923" s="68">
        <v>351215</v>
      </c>
      <c r="F923" s="217"/>
      <c r="G923" s="218">
        <f>26.8+43.8</f>
        <v>70.599999999999994</v>
      </c>
      <c r="H923" s="223" t="s">
        <v>1142</v>
      </c>
      <c r="J923" s="267" t="s">
        <v>246</v>
      </c>
    </row>
    <row r="924" spans="1:10" s="203" customFormat="1" x14ac:dyDescent="0.2">
      <c r="A924" s="215">
        <v>42521</v>
      </c>
      <c r="B924" s="216" t="s">
        <v>127</v>
      </c>
      <c r="C924" s="203" t="s">
        <v>151</v>
      </c>
      <c r="D924" s="59">
        <v>376270713997</v>
      </c>
      <c r="E924" s="68">
        <v>351215</v>
      </c>
      <c r="F924" s="217"/>
      <c r="G924" s="218">
        <f>80.56+41.34</f>
        <v>121.9</v>
      </c>
      <c r="H924" s="223" t="s">
        <v>1143</v>
      </c>
      <c r="J924" s="267" t="s">
        <v>246</v>
      </c>
    </row>
    <row r="925" spans="1:10" s="203" customFormat="1" x14ac:dyDescent="0.2">
      <c r="A925" s="215">
        <v>42521</v>
      </c>
      <c r="B925" s="216" t="s">
        <v>127</v>
      </c>
      <c r="C925" s="203" t="s">
        <v>151</v>
      </c>
      <c r="D925" s="59">
        <v>376270713997</v>
      </c>
      <c r="E925" s="68">
        <v>351215</v>
      </c>
      <c r="F925" s="217"/>
      <c r="G925" s="218">
        <f>20.25+35.55</f>
        <v>55.8</v>
      </c>
      <c r="H925" s="223" t="s">
        <v>1144</v>
      </c>
      <c r="J925" s="267" t="s">
        <v>246</v>
      </c>
    </row>
    <row r="926" spans="1:10" s="203" customFormat="1" x14ac:dyDescent="0.2">
      <c r="A926" s="215">
        <v>42521</v>
      </c>
      <c r="B926" s="216" t="s">
        <v>127</v>
      </c>
      <c r="C926" s="203" t="s">
        <v>151</v>
      </c>
      <c r="D926" s="59">
        <v>376270713997</v>
      </c>
      <c r="E926" s="68">
        <v>351215</v>
      </c>
      <c r="F926" s="217"/>
      <c r="G926" s="218">
        <f>115.05+83.51</f>
        <v>198.56</v>
      </c>
      <c r="H926" s="223" t="s">
        <v>1145</v>
      </c>
      <c r="J926" s="267" t="s">
        <v>246</v>
      </c>
    </row>
    <row r="927" spans="1:10" s="203" customFormat="1" x14ac:dyDescent="0.2">
      <c r="A927" s="215">
        <v>42521</v>
      </c>
      <c r="B927" s="216" t="s">
        <v>127</v>
      </c>
      <c r="C927" s="203" t="s">
        <v>151</v>
      </c>
      <c r="D927" s="59">
        <v>376270713997</v>
      </c>
      <c r="E927" s="68">
        <v>351215</v>
      </c>
      <c r="F927" s="217"/>
      <c r="G927" s="218">
        <f>20.25+35.55</f>
        <v>55.8</v>
      </c>
      <c r="H927" s="223" t="s">
        <v>1146</v>
      </c>
      <c r="J927" s="267" t="s">
        <v>246</v>
      </c>
    </row>
    <row r="928" spans="1:10" s="203" customFormat="1" x14ac:dyDescent="0.2">
      <c r="A928" s="215">
        <v>42521</v>
      </c>
      <c r="B928" s="216" t="s">
        <v>127</v>
      </c>
      <c r="C928" s="203" t="s">
        <v>151</v>
      </c>
      <c r="D928" s="59">
        <v>376270713997</v>
      </c>
      <c r="E928" s="68">
        <v>351215</v>
      </c>
      <c r="F928" s="217"/>
      <c r="G928" s="218">
        <f>54.85+24.15</f>
        <v>79</v>
      </c>
      <c r="H928" s="223" t="s">
        <v>1147</v>
      </c>
      <c r="J928" s="267" t="s">
        <v>246</v>
      </c>
    </row>
    <row r="929" spans="1:10" s="203" customFormat="1" x14ac:dyDescent="0.2">
      <c r="A929" s="215">
        <v>42521</v>
      </c>
      <c r="B929" s="216" t="s">
        <v>127</v>
      </c>
      <c r="C929" s="203" t="s">
        <v>151</v>
      </c>
      <c r="D929" s="59">
        <v>376270713997</v>
      </c>
      <c r="E929" s="68">
        <v>351215</v>
      </c>
      <c r="F929" s="217"/>
      <c r="G929" s="218">
        <f>25.6+42.68</f>
        <v>68.28</v>
      </c>
      <c r="H929" s="223" t="s">
        <v>1148</v>
      </c>
      <c r="J929" s="267" t="s">
        <v>246</v>
      </c>
    </row>
    <row r="930" spans="1:10" s="203" customFormat="1" x14ac:dyDescent="0.2">
      <c r="A930" s="215">
        <v>42521</v>
      </c>
      <c r="B930" s="216" t="s">
        <v>127</v>
      </c>
      <c r="C930" s="203" t="s">
        <v>151</v>
      </c>
      <c r="D930" s="59">
        <v>376270713997</v>
      </c>
      <c r="E930" s="68">
        <v>351215</v>
      </c>
      <c r="F930" s="217"/>
      <c r="G930" s="218">
        <f>42.68+20.32</f>
        <v>63</v>
      </c>
      <c r="H930" s="223" t="s">
        <v>1149</v>
      </c>
      <c r="J930" s="267" t="s">
        <v>246</v>
      </c>
    </row>
    <row r="931" spans="1:10" s="203" customFormat="1" x14ac:dyDescent="0.2">
      <c r="A931" s="215">
        <v>42521</v>
      </c>
      <c r="B931" s="216" t="s">
        <v>127</v>
      </c>
      <c r="C931" s="203" t="s">
        <v>151</v>
      </c>
      <c r="D931" s="59">
        <v>376270713997</v>
      </c>
      <c r="E931" s="68">
        <v>351215</v>
      </c>
      <c r="F931" s="217"/>
      <c r="G931" s="218">
        <f>25.76+42.68</f>
        <v>68.44</v>
      </c>
      <c r="H931" s="223" t="s">
        <v>1150</v>
      </c>
      <c r="J931" s="267" t="s">
        <v>246</v>
      </c>
    </row>
    <row r="932" spans="1:10" s="203" customFormat="1" x14ac:dyDescent="0.2">
      <c r="A932" s="215">
        <v>42521</v>
      </c>
      <c r="B932" s="216" t="s">
        <v>127</v>
      </c>
      <c r="C932" s="203" t="s">
        <v>151</v>
      </c>
      <c r="D932" s="59">
        <v>376270713997</v>
      </c>
      <c r="E932" s="68">
        <v>351215</v>
      </c>
      <c r="F932" s="217"/>
      <c r="G932" s="218">
        <f>36.38+24.85</f>
        <v>61.230000000000004</v>
      </c>
      <c r="H932" s="223" t="s">
        <v>1151</v>
      </c>
      <c r="J932" s="267" t="s">
        <v>246</v>
      </c>
    </row>
    <row r="933" spans="1:10" s="203" customFormat="1" x14ac:dyDescent="0.2">
      <c r="A933" s="215">
        <v>42521</v>
      </c>
      <c r="B933" s="216" t="s">
        <v>127</v>
      </c>
      <c r="C933" s="203" t="s">
        <v>151</v>
      </c>
      <c r="D933" s="59">
        <v>376270713997</v>
      </c>
      <c r="E933" s="68">
        <v>351215</v>
      </c>
      <c r="F933" s="217"/>
      <c r="G933" s="218">
        <f>92.85+152.86</f>
        <v>245.71</v>
      </c>
      <c r="H933" s="223" t="s">
        <v>1152</v>
      </c>
      <c r="J933" s="267" t="s">
        <v>246</v>
      </c>
    </row>
    <row r="934" spans="1:10" s="203" customFormat="1" x14ac:dyDescent="0.2">
      <c r="A934" s="215">
        <v>42521</v>
      </c>
      <c r="B934" s="216" t="s">
        <v>127</v>
      </c>
      <c r="C934" s="203" t="s">
        <v>151</v>
      </c>
      <c r="D934" s="59">
        <v>376270713997</v>
      </c>
      <c r="E934" s="68">
        <v>351215</v>
      </c>
      <c r="F934" s="217"/>
      <c r="G934" s="218">
        <f>9.97+23.09</f>
        <v>33.06</v>
      </c>
      <c r="H934" s="223" t="s">
        <v>1153</v>
      </c>
      <c r="J934" s="267" t="s">
        <v>246</v>
      </c>
    </row>
    <row r="935" spans="1:10" s="203" customFormat="1" x14ac:dyDescent="0.2">
      <c r="A935" s="215">
        <v>42521</v>
      </c>
      <c r="B935" s="216" t="s">
        <v>127</v>
      </c>
      <c r="C935" s="203" t="s">
        <v>151</v>
      </c>
      <c r="D935" s="59">
        <v>376270713997</v>
      </c>
      <c r="E935" s="68">
        <v>351215</v>
      </c>
      <c r="F935" s="217"/>
      <c r="G935" s="218">
        <f>88.32+65.68</f>
        <v>154</v>
      </c>
      <c r="H935" s="223" t="s">
        <v>1154</v>
      </c>
      <c r="J935" s="267" t="s">
        <v>246</v>
      </c>
    </row>
    <row r="936" spans="1:10" s="203" customFormat="1" x14ac:dyDescent="0.2">
      <c r="A936" s="215">
        <v>42521</v>
      </c>
      <c r="B936" s="216" t="s">
        <v>127</v>
      </c>
      <c r="C936" s="203" t="s">
        <v>151</v>
      </c>
      <c r="D936" s="59">
        <v>376270713997</v>
      </c>
      <c r="E936" s="68">
        <v>351215</v>
      </c>
      <c r="F936" s="217"/>
      <c r="G936" s="218">
        <f>20.05+38.8</f>
        <v>58.849999999999994</v>
      </c>
      <c r="H936" s="223" t="s">
        <v>1155</v>
      </c>
      <c r="J936" s="267" t="s">
        <v>246</v>
      </c>
    </row>
    <row r="937" spans="1:10" s="203" customFormat="1" x14ac:dyDescent="0.2">
      <c r="A937" s="215">
        <v>42521</v>
      </c>
      <c r="B937" s="216" t="s">
        <v>127</v>
      </c>
      <c r="C937" s="203" t="s">
        <v>151</v>
      </c>
      <c r="D937" s="59">
        <v>376270713997</v>
      </c>
      <c r="E937" s="68">
        <v>351215</v>
      </c>
      <c r="F937" s="217"/>
      <c r="G937" s="218">
        <f>42.68+20.32</f>
        <v>63</v>
      </c>
      <c r="H937" s="223" t="s">
        <v>1156</v>
      </c>
      <c r="J937" s="267" t="s">
        <v>246</v>
      </c>
    </row>
    <row r="938" spans="1:10" s="203" customFormat="1" x14ac:dyDescent="0.2">
      <c r="A938" s="215">
        <v>42521</v>
      </c>
      <c r="B938" s="216" t="s">
        <v>127</v>
      </c>
      <c r="C938" s="203" t="s">
        <v>151</v>
      </c>
      <c r="D938" s="59">
        <v>376270713997</v>
      </c>
      <c r="E938" s="68">
        <v>351215</v>
      </c>
      <c r="F938" s="217"/>
      <c r="G938" s="218">
        <f>66.63+141.37</f>
        <v>208</v>
      </c>
      <c r="H938" s="223" t="s">
        <v>1157</v>
      </c>
      <c r="J938" s="267" t="s">
        <v>246</v>
      </c>
    </row>
    <row r="939" spans="1:10" s="203" customFormat="1" x14ac:dyDescent="0.2">
      <c r="A939" s="215">
        <v>42521</v>
      </c>
      <c r="B939" s="216" t="s">
        <v>127</v>
      </c>
      <c r="C939" s="203" t="s">
        <v>151</v>
      </c>
      <c r="D939" s="59">
        <v>376270713997</v>
      </c>
      <c r="E939" s="68">
        <v>351215</v>
      </c>
      <c r="F939" s="217"/>
      <c r="G939" s="218">
        <f>25.72+17.78</f>
        <v>43.5</v>
      </c>
      <c r="H939" s="223" t="s">
        <v>1158</v>
      </c>
      <c r="J939" s="267" t="s">
        <v>246</v>
      </c>
    </row>
    <row r="940" spans="1:10" s="203" customFormat="1" x14ac:dyDescent="0.2">
      <c r="A940" s="215">
        <v>42521</v>
      </c>
      <c r="B940" s="216" t="s">
        <v>127</v>
      </c>
      <c r="C940" s="203" t="s">
        <v>151</v>
      </c>
      <c r="D940" s="59">
        <v>376270713997</v>
      </c>
      <c r="E940" s="68">
        <v>351215</v>
      </c>
      <c r="F940" s="217"/>
      <c r="G940" s="218">
        <f>61.45+90.71</f>
        <v>152.16</v>
      </c>
      <c r="H940" s="223" t="s">
        <v>1159</v>
      </c>
      <c r="J940" s="267" t="s">
        <v>246</v>
      </c>
    </row>
    <row r="941" spans="1:10" s="203" customFormat="1" x14ac:dyDescent="0.2">
      <c r="A941" s="215">
        <v>42521</v>
      </c>
      <c r="B941" s="216" t="s">
        <v>127</v>
      </c>
      <c r="C941" s="203" t="s">
        <v>151</v>
      </c>
      <c r="D941" s="59">
        <v>376270713997</v>
      </c>
      <c r="E941" s="68">
        <v>351215</v>
      </c>
      <c r="F941" s="217"/>
      <c r="G941" s="218">
        <f>115.58+93.6</f>
        <v>209.18</v>
      </c>
      <c r="H941" s="223" t="s">
        <v>1160</v>
      </c>
      <c r="J941" s="267" t="s">
        <v>246</v>
      </c>
    </row>
    <row r="942" spans="1:10" s="203" customFormat="1" x14ac:dyDescent="0.2">
      <c r="A942" s="215">
        <v>42521</v>
      </c>
      <c r="B942" s="216" t="s">
        <v>127</v>
      </c>
      <c r="C942" s="203" t="s">
        <v>151</v>
      </c>
      <c r="D942" s="59">
        <v>376270713997</v>
      </c>
      <c r="E942" s="68">
        <v>351215</v>
      </c>
      <c r="F942" s="217"/>
      <c r="G942" s="218">
        <f>91.28+133.81</f>
        <v>225.09</v>
      </c>
      <c r="H942" s="223" t="s">
        <v>1161</v>
      </c>
      <c r="J942" s="267" t="s">
        <v>246</v>
      </c>
    </row>
    <row r="943" spans="1:10" s="203" customFormat="1" x14ac:dyDescent="0.2">
      <c r="A943" s="215">
        <v>42521</v>
      </c>
      <c r="B943" s="216" t="s">
        <v>127</v>
      </c>
      <c r="C943" s="203" t="s">
        <v>151</v>
      </c>
      <c r="D943" s="59">
        <v>376270713997</v>
      </c>
      <c r="E943" s="68">
        <v>351215</v>
      </c>
      <c r="F943" s="217"/>
      <c r="G943" s="218">
        <f>67+31</f>
        <v>98</v>
      </c>
      <c r="H943" s="223" t="s">
        <v>1162</v>
      </c>
      <c r="J943" s="267" t="s">
        <v>246</v>
      </c>
    </row>
    <row r="944" spans="1:10" s="203" customFormat="1" x14ac:dyDescent="0.2">
      <c r="A944" s="215">
        <v>42521</v>
      </c>
      <c r="B944" s="216" t="s">
        <v>127</v>
      </c>
      <c r="C944" s="203" t="s">
        <v>151</v>
      </c>
      <c r="D944" s="59">
        <v>376270713997</v>
      </c>
      <c r="E944" s="68">
        <v>351215</v>
      </c>
      <c r="F944" s="217"/>
      <c r="G944" s="218">
        <f>47.29+72.39</f>
        <v>119.68</v>
      </c>
      <c r="H944" s="223" t="s">
        <v>1163</v>
      </c>
      <c r="J944" s="267" t="s">
        <v>246</v>
      </c>
    </row>
    <row r="945" spans="1:10" s="203" customFormat="1" x14ac:dyDescent="0.2">
      <c r="A945" s="215">
        <v>42521</v>
      </c>
      <c r="B945" s="216" t="s">
        <v>127</v>
      </c>
      <c r="C945" s="203" t="s">
        <v>151</v>
      </c>
      <c r="D945" s="59">
        <v>376270713997</v>
      </c>
      <c r="E945" s="68">
        <v>351215</v>
      </c>
      <c r="F945" s="217"/>
      <c r="G945" s="218">
        <f>117.12+89.51</f>
        <v>206.63</v>
      </c>
      <c r="H945" s="223" t="s">
        <v>1164</v>
      </c>
      <c r="J945" s="267" t="s">
        <v>246</v>
      </c>
    </row>
    <row r="946" spans="1:10" s="203" customFormat="1" x14ac:dyDescent="0.2">
      <c r="A946" s="215">
        <v>42521</v>
      </c>
      <c r="B946" s="216" t="s">
        <v>127</v>
      </c>
      <c r="C946" s="203" t="s">
        <v>151</v>
      </c>
      <c r="D946" s="59">
        <v>376270713997</v>
      </c>
      <c r="E946" s="68">
        <v>351215</v>
      </c>
      <c r="F946" s="217"/>
      <c r="G946" s="218">
        <f>162.1+196.78</f>
        <v>358.88</v>
      </c>
      <c r="H946" s="223" t="s">
        <v>1165</v>
      </c>
      <c r="J946" s="267" t="s">
        <v>246</v>
      </c>
    </row>
    <row r="947" spans="1:10" s="203" customFormat="1" x14ac:dyDescent="0.2">
      <c r="A947" s="215">
        <v>42521</v>
      </c>
      <c r="B947" s="216" t="s">
        <v>127</v>
      </c>
      <c r="C947" s="203" t="s">
        <v>151</v>
      </c>
      <c r="D947" s="59">
        <v>376270713997</v>
      </c>
      <c r="E947" s="68">
        <v>351215</v>
      </c>
      <c r="F947" s="217"/>
      <c r="G947" s="218">
        <f>69.5+24.5</f>
        <v>94</v>
      </c>
      <c r="H947" s="223" t="s">
        <v>1166</v>
      </c>
      <c r="J947" s="267" t="s">
        <v>246</v>
      </c>
    </row>
    <row r="948" spans="1:10" s="203" customFormat="1" x14ac:dyDescent="0.2">
      <c r="A948" s="215">
        <v>42521</v>
      </c>
      <c r="B948" s="216" t="s">
        <v>127</v>
      </c>
      <c r="C948" s="203" t="s">
        <v>151</v>
      </c>
      <c r="D948" s="59">
        <v>376270713997</v>
      </c>
      <c r="E948" s="68">
        <v>351215</v>
      </c>
      <c r="F948" s="217"/>
      <c r="G948" s="218">
        <f>24.73+68.27</f>
        <v>93</v>
      </c>
      <c r="H948" s="223" t="s">
        <v>1167</v>
      </c>
      <c r="J948" s="267" t="s">
        <v>246</v>
      </c>
    </row>
    <row r="949" spans="1:10" s="203" customFormat="1" x14ac:dyDescent="0.2">
      <c r="A949" s="215">
        <v>42521</v>
      </c>
      <c r="B949" s="216" t="s">
        <v>127</v>
      </c>
      <c r="C949" s="203" t="s">
        <v>151</v>
      </c>
      <c r="D949" s="59">
        <v>376270713997</v>
      </c>
      <c r="E949" s="68">
        <v>351215</v>
      </c>
      <c r="F949" s="217"/>
      <c r="G949" s="218">
        <f>102.8+63.62</f>
        <v>166.42</v>
      </c>
      <c r="H949" s="223" t="s">
        <v>1168</v>
      </c>
      <c r="J949" s="267" t="s">
        <v>246</v>
      </c>
    </row>
    <row r="950" spans="1:10" s="203" customFormat="1" x14ac:dyDescent="0.2">
      <c r="A950" s="215">
        <v>42521</v>
      </c>
      <c r="B950" s="216" t="s">
        <v>127</v>
      </c>
      <c r="C950" s="203" t="s">
        <v>151</v>
      </c>
      <c r="D950" s="59">
        <v>376270713997</v>
      </c>
      <c r="E950" s="68">
        <v>351215</v>
      </c>
      <c r="F950" s="217"/>
      <c r="G950" s="218">
        <f>66.26+77.38</f>
        <v>143.63999999999999</v>
      </c>
      <c r="H950" s="223" t="s">
        <v>1169</v>
      </c>
      <c r="J950" s="267" t="s">
        <v>246</v>
      </c>
    </row>
    <row r="951" spans="1:10" s="203" customFormat="1" x14ac:dyDescent="0.2">
      <c r="A951" s="215">
        <v>42521</v>
      </c>
      <c r="B951" s="216" t="s">
        <v>127</v>
      </c>
      <c r="C951" s="203" t="s">
        <v>151</v>
      </c>
      <c r="D951" s="59">
        <v>376270713997</v>
      </c>
      <c r="E951" s="68">
        <v>351215</v>
      </c>
      <c r="F951" s="217"/>
      <c r="G951" s="218">
        <f>89.51+30.05</f>
        <v>119.56</v>
      </c>
      <c r="H951" s="223" t="s">
        <v>1170</v>
      </c>
      <c r="J951" s="267" t="s">
        <v>246</v>
      </c>
    </row>
    <row r="952" spans="1:10" s="203" customFormat="1" x14ac:dyDescent="0.2">
      <c r="A952" s="215">
        <v>42521</v>
      </c>
      <c r="B952" s="216" t="s">
        <v>127</v>
      </c>
      <c r="C952" s="203" t="s">
        <v>151</v>
      </c>
      <c r="D952" s="59">
        <v>376270713997</v>
      </c>
      <c r="E952" s="68">
        <v>351215</v>
      </c>
      <c r="F952" s="217"/>
      <c r="G952" s="218">
        <f>20.82+36.81</f>
        <v>57.63</v>
      </c>
      <c r="H952" s="223" t="s">
        <v>1171</v>
      </c>
      <c r="J952" s="267" t="s">
        <v>246</v>
      </c>
    </row>
    <row r="953" spans="1:10" s="203" customFormat="1" x14ac:dyDescent="0.2">
      <c r="A953" s="215">
        <v>42521</v>
      </c>
      <c r="B953" s="216" t="s">
        <v>127</v>
      </c>
      <c r="C953" s="203" t="s">
        <v>151</v>
      </c>
      <c r="D953" s="59">
        <v>376270713997</v>
      </c>
      <c r="E953" s="68">
        <v>351215</v>
      </c>
      <c r="F953" s="217"/>
      <c r="G953" s="218">
        <f>172.93+57.09</f>
        <v>230.02</v>
      </c>
      <c r="H953" s="223" t="s">
        <v>1172</v>
      </c>
      <c r="J953" s="267" t="s">
        <v>246</v>
      </c>
    </row>
    <row r="954" spans="1:10" s="203" customFormat="1" x14ac:dyDescent="0.2">
      <c r="A954" s="215">
        <v>42521</v>
      </c>
      <c r="B954" s="216" t="s">
        <v>127</v>
      </c>
      <c r="C954" s="203" t="s">
        <v>151</v>
      </c>
      <c r="D954" s="59">
        <v>376270713997</v>
      </c>
      <c r="E954" s="68">
        <v>351215</v>
      </c>
      <c r="F954" s="217"/>
      <c r="G954" s="218">
        <f>43.7+106.21</f>
        <v>149.91</v>
      </c>
      <c r="H954" s="223" t="s">
        <v>1173</v>
      </c>
      <c r="J954" s="267" t="s">
        <v>246</v>
      </c>
    </row>
    <row r="955" spans="1:10" s="203" customFormat="1" x14ac:dyDescent="0.2">
      <c r="A955" s="215">
        <v>42521</v>
      </c>
      <c r="B955" s="216" t="s">
        <v>127</v>
      </c>
      <c r="C955" s="203" t="s">
        <v>151</v>
      </c>
      <c r="D955" s="59">
        <v>376270713997</v>
      </c>
      <c r="E955" s="68">
        <v>351215</v>
      </c>
      <c r="F955" s="217"/>
      <c r="G955" s="218">
        <f>188.64+43.36</f>
        <v>232</v>
      </c>
      <c r="H955" s="223" t="s">
        <v>1174</v>
      </c>
      <c r="J955" s="267" t="s">
        <v>246</v>
      </c>
    </row>
    <row r="956" spans="1:10" s="203" customFormat="1" x14ac:dyDescent="0.2">
      <c r="A956" s="215">
        <v>42521</v>
      </c>
      <c r="B956" s="216" t="s">
        <v>127</v>
      </c>
      <c r="C956" s="203" t="s">
        <v>151</v>
      </c>
      <c r="D956" s="59">
        <v>376270713997</v>
      </c>
      <c r="E956" s="68">
        <v>351215</v>
      </c>
      <c r="F956" s="217"/>
      <c r="G956" s="218">
        <f>30.87+107.16</f>
        <v>138.03</v>
      </c>
      <c r="H956" s="223" t="s">
        <v>1175</v>
      </c>
      <c r="J956" s="267" t="s">
        <v>246</v>
      </c>
    </row>
    <row r="957" spans="1:10" s="203" customFormat="1" x14ac:dyDescent="0.2">
      <c r="A957" s="215">
        <v>42521</v>
      </c>
      <c r="B957" s="216" t="s">
        <v>127</v>
      </c>
      <c r="C957" s="203" t="s">
        <v>151</v>
      </c>
      <c r="D957" s="59">
        <v>376270713997</v>
      </c>
      <c r="E957" s="68">
        <v>351215</v>
      </c>
      <c r="F957" s="217"/>
      <c r="G957" s="218">
        <f>29.44+18.26</f>
        <v>47.7</v>
      </c>
      <c r="H957" s="223" t="s">
        <v>1176</v>
      </c>
      <c r="J957" s="267" t="s">
        <v>246</v>
      </c>
    </row>
    <row r="958" spans="1:10" s="203" customFormat="1" x14ac:dyDescent="0.2">
      <c r="A958" s="215">
        <v>42521</v>
      </c>
      <c r="B958" s="216" t="s">
        <v>127</v>
      </c>
      <c r="C958" s="203" t="s">
        <v>151</v>
      </c>
      <c r="D958" s="59">
        <v>376270713997</v>
      </c>
      <c r="E958" s="68">
        <v>351215</v>
      </c>
      <c r="F958" s="217"/>
      <c r="G958" s="218">
        <f>18.26+34.74</f>
        <v>53</v>
      </c>
      <c r="H958" s="223" t="s">
        <v>1177</v>
      </c>
      <c r="J958" s="267" t="s">
        <v>246</v>
      </c>
    </row>
    <row r="959" spans="1:10" s="203" customFormat="1" x14ac:dyDescent="0.2">
      <c r="A959" s="215">
        <v>42521</v>
      </c>
      <c r="B959" s="216" t="s">
        <v>127</v>
      </c>
      <c r="C959" s="203" t="s">
        <v>151</v>
      </c>
      <c r="D959" s="59">
        <v>376270713997</v>
      </c>
      <c r="E959" s="68">
        <v>351215</v>
      </c>
      <c r="F959" s="217"/>
      <c r="G959" s="218">
        <f>76.8+35.56</f>
        <v>112.36</v>
      </c>
      <c r="H959" s="223" t="s">
        <v>1178</v>
      </c>
      <c r="J959" s="267" t="s">
        <v>246</v>
      </c>
    </row>
    <row r="960" spans="1:10" s="203" customFormat="1" x14ac:dyDescent="0.2">
      <c r="A960" s="215">
        <v>42521</v>
      </c>
      <c r="B960" s="216" t="s">
        <v>127</v>
      </c>
      <c r="C960" s="203" t="s">
        <v>151</v>
      </c>
      <c r="D960" s="59">
        <v>376270713997</v>
      </c>
      <c r="E960" s="68">
        <v>351215</v>
      </c>
      <c r="F960" s="217"/>
      <c r="G960" s="218">
        <f>13.31+13.75</f>
        <v>27.060000000000002</v>
      </c>
      <c r="H960" s="223" t="s">
        <v>1179</v>
      </c>
      <c r="J960" s="267" t="s">
        <v>246</v>
      </c>
    </row>
    <row r="961" spans="1:10" s="203" customFormat="1" x14ac:dyDescent="0.2">
      <c r="A961" s="215">
        <v>42521</v>
      </c>
      <c r="B961" s="216" t="s">
        <v>127</v>
      </c>
      <c r="C961" s="203" t="s">
        <v>151</v>
      </c>
      <c r="D961" s="59">
        <v>376270713997</v>
      </c>
      <c r="E961" s="68">
        <v>351215</v>
      </c>
      <c r="F961" s="217"/>
      <c r="G961" s="218">
        <f>117.11+74.29</f>
        <v>191.4</v>
      </c>
      <c r="H961" s="223" t="s">
        <v>1180</v>
      </c>
      <c r="J961" s="267" t="s">
        <v>246</v>
      </c>
    </row>
    <row r="962" spans="1:10" s="203" customFormat="1" x14ac:dyDescent="0.2">
      <c r="A962" s="215">
        <v>42521</v>
      </c>
      <c r="B962" s="216" t="s">
        <v>127</v>
      </c>
      <c r="C962" s="203" t="s">
        <v>151</v>
      </c>
      <c r="D962" s="59">
        <v>376270713997</v>
      </c>
      <c r="E962" s="68">
        <v>351215</v>
      </c>
      <c r="F962" s="217"/>
      <c r="G962" s="218">
        <f>74.73+117.11</f>
        <v>191.84</v>
      </c>
      <c r="H962" s="223" t="s">
        <v>1181</v>
      </c>
      <c r="J962" s="267" t="s">
        <v>246</v>
      </c>
    </row>
    <row r="963" spans="1:10" s="203" customFormat="1" x14ac:dyDescent="0.2">
      <c r="A963" s="215">
        <v>42521</v>
      </c>
      <c r="B963" s="216" t="s">
        <v>127</v>
      </c>
      <c r="C963" s="203" t="s">
        <v>151</v>
      </c>
      <c r="D963" s="59">
        <v>376270713997</v>
      </c>
      <c r="E963" s="68">
        <v>351215</v>
      </c>
      <c r="F963" s="217"/>
      <c r="G963" s="218">
        <f>160.44+86.73</f>
        <v>247.17000000000002</v>
      </c>
      <c r="H963" s="223" t="s">
        <v>1182</v>
      </c>
      <c r="J963" s="267" t="s">
        <v>246</v>
      </c>
    </row>
    <row r="964" spans="1:10" s="203" customFormat="1" x14ac:dyDescent="0.2">
      <c r="A964" s="215">
        <v>42521</v>
      </c>
      <c r="B964" s="216" t="s">
        <v>127</v>
      </c>
      <c r="C964" s="203" t="s">
        <v>151</v>
      </c>
      <c r="D964" s="59">
        <v>376270713997</v>
      </c>
      <c r="E964" s="68">
        <v>351215</v>
      </c>
      <c r="F964" s="217"/>
      <c r="G964" s="218">
        <f>27.1+52.1</f>
        <v>79.2</v>
      </c>
      <c r="H964" s="223" t="s">
        <v>1183</v>
      </c>
      <c r="J964" s="267" t="s">
        <v>246</v>
      </c>
    </row>
    <row r="965" spans="1:10" s="203" customFormat="1" x14ac:dyDescent="0.2">
      <c r="A965" s="215">
        <v>42521</v>
      </c>
      <c r="B965" s="216" t="s">
        <v>127</v>
      </c>
      <c r="C965" s="203" t="s">
        <v>151</v>
      </c>
      <c r="D965" s="59">
        <v>376270713997</v>
      </c>
      <c r="E965" s="68">
        <v>351215</v>
      </c>
      <c r="F965" s="217"/>
      <c r="G965" s="218">
        <f>98+52.36</f>
        <v>150.36000000000001</v>
      </c>
      <c r="H965" s="223" t="s">
        <v>1184</v>
      </c>
      <c r="J965" s="267" t="s">
        <v>246</v>
      </c>
    </row>
    <row r="966" spans="1:10" s="203" customFormat="1" x14ac:dyDescent="0.2">
      <c r="A966" s="215">
        <v>42521</v>
      </c>
      <c r="B966" s="216" t="s">
        <v>127</v>
      </c>
      <c r="C966" s="203" t="s">
        <v>151</v>
      </c>
      <c r="D966" s="59">
        <v>376270713997</v>
      </c>
      <c r="E966" s="68">
        <v>351215</v>
      </c>
      <c r="F966" s="217"/>
      <c r="G966" s="218">
        <f>32.38+60.9</f>
        <v>93.28</v>
      </c>
      <c r="H966" s="223" t="s">
        <v>1185</v>
      </c>
      <c r="J966" s="267" t="s">
        <v>246</v>
      </c>
    </row>
    <row r="967" spans="1:10" s="203" customFormat="1" x14ac:dyDescent="0.2">
      <c r="A967" s="215">
        <v>42521</v>
      </c>
      <c r="B967" s="216" t="s">
        <v>127</v>
      </c>
      <c r="C967" s="203" t="s">
        <v>151</v>
      </c>
      <c r="D967" s="59">
        <v>376270713997</v>
      </c>
      <c r="E967" s="68">
        <v>351215</v>
      </c>
      <c r="F967" s="217"/>
      <c r="G967" s="218">
        <f>57+31</f>
        <v>88</v>
      </c>
      <c r="H967" s="223" t="s">
        <v>1186</v>
      </c>
      <c r="J967" s="267" t="s">
        <v>246</v>
      </c>
    </row>
    <row r="968" spans="1:10" s="203" customFormat="1" x14ac:dyDescent="0.2">
      <c r="A968" s="215">
        <v>42521</v>
      </c>
      <c r="B968" s="216" t="s">
        <v>127</v>
      </c>
      <c r="C968" s="203" t="s">
        <v>151</v>
      </c>
      <c r="D968" s="59">
        <v>376270713997</v>
      </c>
      <c r="E968" s="68">
        <v>351215</v>
      </c>
      <c r="F968" s="217"/>
      <c r="G968" s="218">
        <f>40.1+55.15</f>
        <v>95.25</v>
      </c>
      <c r="H968" s="223" t="s">
        <v>1187</v>
      </c>
      <c r="J968" s="267" t="s">
        <v>246</v>
      </c>
    </row>
    <row r="969" spans="1:10" s="203" customFormat="1" x14ac:dyDescent="0.2">
      <c r="A969" s="215">
        <v>42521</v>
      </c>
      <c r="B969" s="216" t="s">
        <v>127</v>
      </c>
      <c r="C969" s="203" t="s">
        <v>151</v>
      </c>
      <c r="D969" s="59">
        <v>376270713997</v>
      </c>
      <c r="E969" s="68">
        <v>351215</v>
      </c>
      <c r="F969" s="217"/>
      <c r="G969" s="218">
        <f>36.89+16.11</f>
        <v>53</v>
      </c>
      <c r="H969" s="223" t="s">
        <v>1188</v>
      </c>
      <c r="J969" s="267" t="s">
        <v>246</v>
      </c>
    </row>
    <row r="970" spans="1:10" s="203" customFormat="1" x14ac:dyDescent="0.2">
      <c r="A970" s="215">
        <v>42521</v>
      </c>
      <c r="B970" s="216" t="s">
        <v>127</v>
      </c>
      <c r="C970" s="203" t="s">
        <v>151</v>
      </c>
      <c r="D970" s="59">
        <v>376270713997</v>
      </c>
      <c r="E970" s="68">
        <v>351215</v>
      </c>
      <c r="F970" s="217"/>
      <c r="G970" s="218">
        <f>34.42+52.1</f>
        <v>86.52000000000001</v>
      </c>
      <c r="H970" s="223" t="s">
        <v>1189</v>
      </c>
      <c r="J970" s="267" t="s">
        <v>246</v>
      </c>
    </row>
    <row r="971" spans="1:10" s="203" customFormat="1" x14ac:dyDescent="0.2">
      <c r="A971" s="215">
        <v>42521</v>
      </c>
      <c r="B971" s="216" t="s">
        <v>127</v>
      </c>
      <c r="C971" s="203" t="s">
        <v>151</v>
      </c>
      <c r="D971" s="59">
        <v>376270713997</v>
      </c>
      <c r="E971" s="68">
        <v>351215</v>
      </c>
      <c r="F971" s="217"/>
      <c r="G971" s="218">
        <f>34.7+22.27</f>
        <v>56.97</v>
      </c>
      <c r="H971" s="223" t="s">
        <v>1190</v>
      </c>
      <c r="J971" s="267" t="s">
        <v>246</v>
      </c>
    </row>
    <row r="972" spans="1:10" s="203" customFormat="1" x14ac:dyDescent="0.2">
      <c r="A972" s="215">
        <v>42521</v>
      </c>
      <c r="B972" s="216" t="s">
        <v>127</v>
      </c>
      <c r="C972" s="203" t="s">
        <v>151</v>
      </c>
      <c r="D972" s="59">
        <v>376270713997</v>
      </c>
      <c r="E972" s="68">
        <v>351215</v>
      </c>
      <c r="F972" s="217"/>
      <c r="G972" s="218">
        <f>45.41+80.85</f>
        <v>126.25999999999999</v>
      </c>
      <c r="H972" s="223" t="s">
        <v>1191</v>
      </c>
      <c r="J972" s="267" t="s">
        <v>246</v>
      </c>
    </row>
    <row r="973" spans="1:10" s="203" customFormat="1" x14ac:dyDescent="0.2">
      <c r="A973" s="215">
        <v>42521</v>
      </c>
      <c r="B973" s="216" t="s">
        <v>127</v>
      </c>
      <c r="C973" s="203" t="s">
        <v>151</v>
      </c>
      <c r="D973" s="59">
        <v>376270713997</v>
      </c>
      <c r="E973" s="68">
        <v>351215</v>
      </c>
      <c r="F973" s="217"/>
      <c r="G973" s="218">
        <f>95.49+35.83</f>
        <v>131.32</v>
      </c>
      <c r="H973" s="223" t="s">
        <v>1192</v>
      </c>
      <c r="J973" s="267" t="s">
        <v>246</v>
      </c>
    </row>
    <row r="974" spans="1:10" s="203" customFormat="1" x14ac:dyDescent="0.2">
      <c r="A974" s="215">
        <v>42521</v>
      </c>
      <c r="B974" s="216" t="s">
        <v>127</v>
      </c>
      <c r="C974" s="203" t="s">
        <v>151</v>
      </c>
      <c r="D974" s="59">
        <v>376270713997</v>
      </c>
      <c r="E974" s="68">
        <v>351215</v>
      </c>
      <c r="F974" s="217"/>
      <c r="G974" s="218">
        <f>28.67+44.86</f>
        <v>73.53</v>
      </c>
      <c r="H974" s="223" t="s">
        <v>1193</v>
      </c>
      <c r="J974" s="267" t="s">
        <v>246</v>
      </c>
    </row>
    <row r="975" spans="1:10" s="203" customFormat="1" x14ac:dyDescent="0.2">
      <c r="A975" s="215">
        <v>42521</v>
      </c>
      <c r="B975" s="216" t="s">
        <v>127</v>
      </c>
      <c r="C975" s="203" t="s">
        <v>151</v>
      </c>
      <c r="D975" s="59">
        <v>376270713997</v>
      </c>
      <c r="E975" s="68">
        <v>351215</v>
      </c>
      <c r="F975" s="217"/>
      <c r="G975" s="218">
        <f>100.84+84.92</f>
        <v>185.76</v>
      </c>
      <c r="H975" s="223" t="s">
        <v>1194</v>
      </c>
      <c r="J975" s="267" t="s">
        <v>246</v>
      </c>
    </row>
    <row r="976" spans="1:10" s="203" customFormat="1" x14ac:dyDescent="0.2">
      <c r="A976" s="215">
        <v>42521</v>
      </c>
      <c r="B976" s="216" t="s">
        <v>127</v>
      </c>
      <c r="C976" s="203" t="s">
        <v>151</v>
      </c>
      <c r="D976" s="59">
        <v>376270713997</v>
      </c>
      <c r="E976" s="68">
        <v>351215</v>
      </c>
      <c r="F976" s="217"/>
      <c r="G976" s="218">
        <f>74.84+97.44</f>
        <v>172.28</v>
      </c>
      <c r="H976" s="223" t="s">
        <v>1195</v>
      </c>
      <c r="J976" s="267" t="s">
        <v>246</v>
      </c>
    </row>
    <row r="977" spans="1:14" s="203" customFormat="1" x14ac:dyDescent="0.2">
      <c r="A977" s="215">
        <v>42521</v>
      </c>
      <c r="B977" s="216" t="s">
        <v>127</v>
      </c>
      <c r="C977" s="203" t="s">
        <v>151</v>
      </c>
      <c r="D977" s="59">
        <v>376270713997</v>
      </c>
      <c r="E977" s="68">
        <v>351215</v>
      </c>
      <c r="F977" s="217"/>
      <c r="G977" s="218">
        <f>86.8+38.48</f>
        <v>125.28</v>
      </c>
      <c r="H977" s="223" t="s">
        <v>1196</v>
      </c>
      <c r="J977" s="267" t="s">
        <v>246</v>
      </c>
    </row>
    <row r="978" spans="1:14" s="203" customFormat="1" x14ac:dyDescent="0.2">
      <c r="A978" s="215">
        <v>42521</v>
      </c>
      <c r="B978" s="216" t="s">
        <v>127</v>
      </c>
      <c r="C978" s="203" t="s">
        <v>151</v>
      </c>
      <c r="D978" s="59">
        <v>376270713997</v>
      </c>
      <c r="E978" s="68">
        <v>351215</v>
      </c>
      <c r="F978" s="217"/>
      <c r="G978" s="218">
        <f>42+18</f>
        <v>60</v>
      </c>
      <c r="H978" s="223" t="s">
        <v>1197</v>
      </c>
      <c r="J978" s="267" t="s">
        <v>246</v>
      </c>
    </row>
    <row r="979" spans="1:14" s="203" customFormat="1" x14ac:dyDescent="0.2">
      <c r="A979" s="215">
        <v>42521</v>
      </c>
      <c r="B979" s="216" t="s">
        <v>127</v>
      </c>
      <c r="C979" s="203" t="s">
        <v>151</v>
      </c>
      <c r="D979" s="59">
        <v>376270713997</v>
      </c>
      <c r="E979" s="68">
        <v>351215</v>
      </c>
      <c r="F979" s="217"/>
      <c r="G979" s="218">
        <f>38.8+16.2</f>
        <v>55</v>
      </c>
      <c r="H979" s="223" t="s">
        <v>1198</v>
      </c>
      <c r="J979" s="267" t="s">
        <v>246</v>
      </c>
    </row>
    <row r="980" spans="1:14" s="203" customFormat="1" x14ac:dyDescent="0.2">
      <c r="A980" s="215">
        <v>42521</v>
      </c>
      <c r="B980" s="216" t="s">
        <v>127</v>
      </c>
      <c r="C980" s="203" t="s">
        <v>151</v>
      </c>
      <c r="D980" s="59">
        <v>376270713997</v>
      </c>
      <c r="E980" s="68">
        <v>351215</v>
      </c>
      <c r="F980" s="217"/>
      <c r="G980" s="218">
        <f>18.26+34.74</f>
        <v>53</v>
      </c>
      <c r="H980" s="223" t="s">
        <v>1199</v>
      </c>
      <c r="J980" s="267" t="s">
        <v>246</v>
      </c>
    </row>
    <row r="981" spans="1:14" s="203" customFormat="1" x14ac:dyDescent="0.2">
      <c r="A981" s="215">
        <v>42521</v>
      </c>
      <c r="B981" s="216" t="s">
        <v>127</v>
      </c>
      <c r="C981" s="203" t="s">
        <v>151</v>
      </c>
      <c r="D981" s="59">
        <v>376270713997</v>
      </c>
      <c r="E981" s="68">
        <v>351215</v>
      </c>
      <c r="F981" s="217"/>
      <c r="G981" s="218">
        <f>37.73+17.91</f>
        <v>55.64</v>
      </c>
      <c r="H981" s="223" t="s">
        <v>1200</v>
      </c>
      <c r="J981" s="267" t="s">
        <v>246</v>
      </c>
    </row>
    <row r="982" spans="1:14" s="203" customFormat="1" x14ac:dyDescent="0.2">
      <c r="A982" s="221" t="s">
        <v>1944</v>
      </c>
      <c r="B982" s="216" t="s">
        <v>0</v>
      </c>
      <c r="C982" s="222" t="s">
        <v>1201</v>
      </c>
      <c r="D982" s="59">
        <v>376252528991</v>
      </c>
      <c r="E982" s="68">
        <v>5993</v>
      </c>
      <c r="F982" s="217" t="s">
        <v>1202</v>
      </c>
      <c r="G982" s="241">
        <v>179.96</v>
      </c>
      <c r="H982" s="223"/>
      <c r="J982" s="267" t="s">
        <v>246</v>
      </c>
    </row>
    <row r="983" spans="1:14" s="203" customFormat="1" x14ac:dyDescent="0.2">
      <c r="A983" s="221" t="s">
        <v>1944</v>
      </c>
      <c r="B983" s="216" t="s">
        <v>0</v>
      </c>
      <c r="C983" s="222" t="s">
        <v>1201</v>
      </c>
      <c r="D983" s="59">
        <v>376252528991</v>
      </c>
      <c r="E983" s="68">
        <v>5993</v>
      </c>
      <c r="F983" s="217" t="s">
        <v>1203</v>
      </c>
      <c r="G983" s="241">
        <v>88.38</v>
      </c>
      <c r="H983" s="223"/>
      <c r="J983" s="267" t="s">
        <v>246</v>
      </c>
      <c r="K983" s="269"/>
      <c r="L983" s="269"/>
      <c r="M983" s="269"/>
      <c r="N983" s="269"/>
    </row>
    <row r="984" spans="1:14" s="203" customFormat="1" x14ac:dyDescent="0.2">
      <c r="A984" s="221" t="s">
        <v>1944</v>
      </c>
      <c r="B984" s="216" t="s">
        <v>0</v>
      </c>
      <c r="C984" s="222" t="s">
        <v>1201</v>
      </c>
      <c r="D984" s="59">
        <v>376255172995</v>
      </c>
      <c r="E984" s="68">
        <v>350075</v>
      </c>
      <c r="F984" s="217"/>
      <c r="G984" s="241">
        <v>130.38999999999999</v>
      </c>
      <c r="H984" s="223"/>
      <c r="J984" s="269" t="s">
        <v>55</v>
      </c>
    </row>
    <row r="985" spans="1:14" s="19" customFormat="1" x14ac:dyDescent="0.2">
      <c r="A985" s="103" t="s">
        <v>1944</v>
      </c>
      <c r="B985" s="20" t="s">
        <v>0</v>
      </c>
      <c r="C985" s="130"/>
      <c r="D985" s="56">
        <v>376265349997</v>
      </c>
      <c r="E985" s="29">
        <v>350427</v>
      </c>
      <c r="F985" s="120" t="s">
        <v>1204</v>
      </c>
      <c r="G985" s="188">
        <v>54.95</v>
      </c>
      <c r="H985" s="134"/>
      <c r="J985" s="19" t="s">
        <v>12</v>
      </c>
    </row>
    <row r="986" spans="1:14" s="203" customFormat="1" x14ac:dyDescent="0.2">
      <c r="A986" s="221" t="s">
        <v>1944</v>
      </c>
      <c r="B986" s="216" t="s">
        <v>0</v>
      </c>
      <c r="C986" s="203" t="s">
        <v>1201</v>
      </c>
      <c r="D986" s="59">
        <v>376230104998</v>
      </c>
      <c r="E986" s="68">
        <v>213485</v>
      </c>
      <c r="F986" s="217" t="s">
        <v>1205</v>
      </c>
      <c r="G986" s="241">
        <v>124.26</v>
      </c>
      <c r="H986" s="223"/>
      <c r="J986" s="203" t="s">
        <v>246</v>
      </c>
    </row>
    <row r="987" spans="1:14" s="203" customFormat="1" x14ac:dyDescent="0.2">
      <c r="A987" s="221" t="s">
        <v>1944</v>
      </c>
      <c r="B987" s="216" t="s">
        <v>0</v>
      </c>
      <c r="C987" s="203" t="s">
        <v>1201</v>
      </c>
      <c r="D987" s="59">
        <v>376264598990</v>
      </c>
      <c r="E987" s="68">
        <v>350384</v>
      </c>
      <c r="F987" s="217" t="s">
        <v>1206</v>
      </c>
      <c r="G987" s="241">
        <v>114.39</v>
      </c>
      <c r="H987" s="223"/>
      <c r="J987" s="203" t="s">
        <v>246</v>
      </c>
    </row>
    <row r="988" spans="1:14" s="19" customFormat="1" x14ac:dyDescent="0.2">
      <c r="A988" s="103" t="s">
        <v>1944</v>
      </c>
      <c r="B988" s="20" t="s">
        <v>0</v>
      </c>
      <c r="D988" s="56">
        <v>376266545999</v>
      </c>
      <c r="E988" s="29">
        <v>226895</v>
      </c>
      <c r="F988" s="120" t="s">
        <v>1078</v>
      </c>
      <c r="G988" s="188">
        <v>54.95</v>
      </c>
      <c r="H988" s="134"/>
      <c r="J988" s="19" t="s">
        <v>1207</v>
      </c>
    </row>
    <row r="989" spans="1:14" s="19" customFormat="1" x14ac:dyDescent="0.2">
      <c r="A989" s="103" t="s">
        <v>1944</v>
      </c>
      <c r="B989" s="20" t="s">
        <v>0</v>
      </c>
      <c r="D989" s="56">
        <v>376266545999</v>
      </c>
      <c r="E989" s="29">
        <v>226895</v>
      </c>
      <c r="F989" s="120" t="s">
        <v>1208</v>
      </c>
      <c r="G989" s="188">
        <v>109.95</v>
      </c>
      <c r="H989" s="134"/>
      <c r="J989" s="19" t="s">
        <v>1209</v>
      </c>
    </row>
    <row r="990" spans="1:14" s="203" customFormat="1" x14ac:dyDescent="0.2">
      <c r="A990" s="221" t="s">
        <v>1944</v>
      </c>
      <c r="B990" s="216" t="s">
        <v>0</v>
      </c>
      <c r="C990" s="203" t="s">
        <v>1201</v>
      </c>
      <c r="D990" s="59">
        <v>376272012992</v>
      </c>
      <c r="E990" s="68">
        <v>351716</v>
      </c>
      <c r="F990" s="217" t="s">
        <v>1210</v>
      </c>
      <c r="G990" s="241">
        <v>84.94</v>
      </c>
      <c r="H990" s="223"/>
      <c r="J990" s="203" t="s">
        <v>246</v>
      </c>
    </row>
    <row r="991" spans="1:14" s="203" customFormat="1" x14ac:dyDescent="0.2">
      <c r="A991" s="221" t="s">
        <v>1944</v>
      </c>
      <c r="B991" s="216" t="s">
        <v>0</v>
      </c>
      <c r="C991" s="203" t="s">
        <v>1201</v>
      </c>
      <c r="D991" s="59">
        <v>376266275993</v>
      </c>
      <c r="E991" s="68">
        <v>350470</v>
      </c>
      <c r="F991" s="217" t="s">
        <v>1211</v>
      </c>
      <c r="G991" s="241">
        <v>56.39</v>
      </c>
      <c r="H991" s="223"/>
      <c r="J991" s="203" t="s">
        <v>246</v>
      </c>
    </row>
    <row r="992" spans="1:14" s="203" customFormat="1" x14ac:dyDescent="0.2">
      <c r="A992" s="221" t="s">
        <v>1944</v>
      </c>
      <c r="B992" s="216" t="s">
        <v>0</v>
      </c>
      <c r="C992" s="203" t="s">
        <v>1201</v>
      </c>
      <c r="D992" s="217" t="s">
        <v>1212</v>
      </c>
      <c r="E992" s="68">
        <v>224525</v>
      </c>
      <c r="F992" s="217" t="s">
        <v>1213</v>
      </c>
      <c r="G992" s="241">
        <v>54.9</v>
      </c>
      <c r="J992" s="203" t="s">
        <v>246</v>
      </c>
    </row>
    <row r="993" spans="1:10" s="203" customFormat="1" x14ac:dyDescent="0.2">
      <c r="A993" s="221" t="s">
        <v>1944</v>
      </c>
      <c r="B993" s="216" t="s">
        <v>0</v>
      </c>
      <c r="C993" s="203" t="s">
        <v>1201</v>
      </c>
      <c r="D993" s="217" t="s">
        <v>1214</v>
      </c>
      <c r="E993" s="68">
        <v>218065</v>
      </c>
      <c r="F993" s="217" t="s">
        <v>1215</v>
      </c>
      <c r="G993" s="241">
        <v>69.540000000000006</v>
      </c>
      <c r="J993" s="203" t="s">
        <v>246</v>
      </c>
    </row>
    <row r="994" spans="1:10" s="203" customFormat="1" x14ac:dyDescent="0.2">
      <c r="A994" s="221" t="s">
        <v>1944</v>
      </c>
      <c r="B994" s="216" t="s">
        <v>0</v>
      </c>
      <c r="C994" s="203" t="s">
        <v>1201</v>
      </c>
      <c r="D994" s="217" t="s">
        <v>269</v>
      </c>
      <c r="E994" s="68">
        <v>216328</v>
      </c>
      <c r="F994" s="217" t="s">
        <v>1216</v>
      </c>
      <c r="G994" s="241">
        <v>96.25</v>
      </c>
      <c r="J994" s="203" t="s">
        <v>246</v>
      </c>
    </row>
    <row r="995" spans="1:10" s="203" customFormat="1" x14ac:dyDescent="0.2">
      <c r="A995" s="221" t="s">
        <v>1944</v>
      </c>
      <c r="B995" s="216" t="s">
        <v>0</v>
      </c>
      <c r="C995" s="203" t="s">
        <v>1201</v>
      </c>
      <c r="D995" s="270" t="s">
        <v>239</v>
      </c>
      <c r="E995" s="68">
        <v>217848</v>
      </c>
      <c r="F995" s="217" t="s">
        <v>1217</v>
      </c>
      <c r="G995" s="241">
        <v>160.80000000000001</v>
      </c>
      <c r="J995" s="203" t="s">
        <v>246</v>
      </c>
    </row>
    <row r="996" spans="1:10" s="203" customFormat="1" x14ac:dyDescent="0.2">
      <c r="A996" s="221" t="s">
        <v>1944</v>
      </c>
      <c r="B996" s="216" t="s">
        <v>0</v>
      </c>
      <c r="C996" s="203" t="s">
        <v>1201</v>
      </c>
      <c r="D996" s="270" t="s">
        <v>239</v>
      </c>
      <c r="E996" s="68">
        <v>217848</v>
      </c>
      <c r="F996" s="217" t="s">
        <v>1218</v>
      </c>
      <c r="G996" s="241">
        <v>59.95</v>
      </c>
      <c r="J996" s="203" t="s">
        <v>246</v>
      </c>
    </row>
    <row r="997" spans="1:10" s="203" customFormat="1" x14ac:dyDescent="0.2">
      <c r="A997" s="221" t="s">
        <v>1944</v>
      </c>
      <c r="B997" s="216" t="s">
        <v>0</v>
      </c>
      <c r="C997" s="203" t="s">
        <v>1201</v>
      </c>
      <c r="D997" s="270" t="s">
        <v>106</v>
      </c>
      <c r="E997" s="68">
        <v>350557</v>
      </c>
      <c r="F997" s="217" t="s">
        <v>1219</v>
      </c>
      <c r="G997" s="241">
        <v>83.95</v>
      </c>
      <c r="J997" s="203" t="s">
        <v>246</v>
      </c>
    </row>
    <row r="998" spans="1:10" s="203" customFormat="1" x14ac:dyDescent="0.2">
      <c r="A998" s="221" t="s">
        <v>1944</v>
      </c>
      <c r="B998" s="216" t="s">
        <v>0</v>
      </c>
      <c r="C998" s="203" t="s">
        <v>1201</v>
      </c>
      <c r="D998" s="270" t="s">
        <v>1220</v>
      </c>
      <c r="E998" s="68">
        <v>211954</v>
      </c>
      <c r="F998" s="217" t="s">
        <v>1221</v>
      </c>
      <c r="G998" s="241">
        <v>162.75</v>
      </c>
      <c r="J998" s="203" t="s">
        <v>246</v>
      </c>
    </row>
    <row r="999" spans="1:10" s="203" customFormat="1" x14ac:dyDescent="0.2">
      <c r="A999" s="221" t="s">
        <v>1944</v>
      </c>
      <c r="B999" s="216" t="s">
        <v>0</v>
      </c>
      <c r="C999" s="203" t="s">
        <v>1201</v>
      </c>
      <c r="D999" s="270" t="s">
        <v>1222</v>
      </c>
      <c r="E999" s="68">
        <v>350119</v>
      </c>
      <c r="F999" s="217" t="s">
        <v>1223</v>
      </c>
      <c r="G999" s="241">
        <v>159.80000000000001</v>
      </c>
      <c r="J999" s="203" t="s">
        <v>246</v>
      </c>
    </row>
    <row r="1000" spans="1:10" s="203" customFormat="1" x14ac:dyDescent="0.2">
      <c r="A1000" s="221" t="s">
        <v>1944</v>
      </c>
      <c r="B1000" s="216" t="s">
        <v>0</v>
      </c>
      <c r="C1000" s="203" t="s">
        <v>1201</v>
      </c>
      <c r="D1000" s="270" t="s">
        <v>300</v>
      </c>
      <c r="E1000" s="68">
        <v>351179</v>
      </c>
      <c r="F1000" s="217" t="s">
        <v>1224</v>
      </c>
      <c r="G1000" s="241">
        <v>155.54</v>
      </c>
      <c r="J1000" s="203" t="s">
        <v>246</v>
      </c>
    </row>
    <row r="1001" spans="1:10" s="203" customFormat="1" x14ac:dyDescent="0.2">
      <c r="A1001" s="221" t="s">
        <v>1944</v>
      </c>
      <c r="B1001" s="216" t="s">
        <v>0</v>
      </c>
      <c r="C1001" s="203" t="s">
        <v>1201</v>
      </c>
      <c r="D1001" s="270" t="s">
        <v>1225</v>
      </c>
      <c r="E1001" s="68">
        <v>351219</v>
      </c>
      <c r="F1001" s="217" t="s">
        <v>1226</v>
      </c>
      <c r="G1001" s="241">
        <v>79.95</v>
      </c>
      <c r="J1001" s="203" t="s">
        <v>246</v>
      </c>
    </row>
    <row r="1002" spans="1:10" s="203" customFormat="1" x14ac:dyDescent="0.2">
      <c r="A1002" s="221" t="s">
        <v>1944</v>
      </c>
      <c r="B1002" s="216" t="s">
        <v>0</v>
      </c>
      <c r="C1002" s="203" t="s">
        <v>1201</v>
      </c>
      <c r="D1002" s="270" t="s">
        <v>1227</v>
      </c>
      <c r="E1002" s="68">
        <v>350414</v>
      </c>
      <c r="F1002" s="217" t="s">
        <v>1228</v>
      </c>
      <c r="G1002" s="241">
        <v>39.950000000000003</v>
      </c>
      <c r="J1002" s="203" t="s">
        <v>246</v>
      </c>
    </row>
    <row r="1003" spans="1:10" s="203" customFormat="1" x14ac:dyDescent="0.2">
      <c r="A1003" s="221" t="s">
        <v>1944</v>
      </c>
      <c r="B1003" s="216" t="s">
        <v>0</v>
      </c>
      <c r="C1003" s="203" t="s">
        <v>1201</v>
      </c>
      <c r="D1003" s="270" t="s">
        <v>222</v>
      </c>
      <c r="E1003" s="68">
        <v>350252</v>
      </c>
      <c r="F1003" s="217" t="s">
        <v>1229</v>
      </c>
      <c r="G1003" s="241">
        <v>120.8</v>
      </c>
      <c r="J1003" s="203" t="s">
        <v>246</v>
      </c>
    </row>
    <row r="1004" spans="1:10" s="203" customFormat="1" x14ac:dyDescent="0.2">
      <c r="A1004" s="221" t="s">
        <v>1944</v>
      </c>
      <c r="B1004" s="216" t="s">
        <v>0</v>
      </c>
      <c r="C1004" s="203" t="s">
        <v>1201</v>
      </c>
      <c r="D1004" s="270" t="s">
        <v>1230</v>
      </c>
      <c r="E1004" s="68">
        <v>350252</v>
      </c>
      <c r="F1004" s="217" t="s">
        <v>1231</v>
      </c>
      <c r="G1004" s="241">
        <v>112.71</v>
      </c>
      <c r="J1004" s="203" t="s">
        <v>246</v>
      </c>
    </row>
    <row r="1005" spans="1:10" s="203" customFormat="1" x14ac:dyDescent="0.2">
      <c r="A1005" s="221" t="s">
        <v>1944</v>
      </c>
      <c r="B1005" s="216" t="s">
        <v>0</v>
      </c>
      <c r="C1005" s="203" t="s">
        <v>1201</v>
      </c>
      <c r="D1005" s="270" t="s">
        <v>100</v>
      </c>
      <c r="E1005" s="68">
        <v>351278</v>
      </c>
      <c r="F1005" s="217" t="s">
        <v>1232</v>
      </c>
      <c r="G1005" s="241">
        <v>66.95</v>
      </c>
      <c r="J1005" s="203" t="s">
        <v>246</v>
      </c>
    </row>
    <row r="1006" spans="1:10" s="203" customFormat="1" x14ac:dyDescent="0.2">
      <c r="A1006" s="221" t="s">
        <v>1944</v>
      </c>
      <c r="B1006" s="216" t="s">
        <v>0</v>
      </c>
      <c r="C1006" s="203" t="s">
        <v>1201</v>
      </c>
      <c r="D1006" s="270" t="s">
        <v>1233</v>
      </c>
      <c r="E1006" s="68">
        <v>350162</v>
      </c>
      <c r="F1006" s="217" t="s">
        <v>1234</v>
      </c>
      <c r="G1006" s="241">
        <v>69.95</v>
      </c>
      <c r="J1006" s="203" t="s">
        <v>246</v>
      </c>
    </row>
    <row r="1007" spans="1:10" s="203" customFormat="1" x14ac:dyDescent="0.2">
      <c r="A1007" s="221" t="s">
        <v>1944</v>
      </c>
      <c r="B1007" s="216" t="s">
        <v>0</v>
      </c>
      <c r="C1007" s="203" t="s">
        <v>1201</v>
      </c>
      <c r="D1007" s="270" t="s">
        <v>1233</v>
      </c>
      <c r="E1007" s="68">
        <v>350162</v>
      </c>
      <c r="F1007" s="217" t="s">
        <v>1235</v>
      </c>
      <c r="G1007" s="241">
        <v>87.9</v>
      </c>
      <c r="J1007" s="203" t="s">
        <v>246</v>
      </c>
    </row>
    <row r="1008" spans="1:10" s="203" customFormat="1" x14ac:dyDescent="0.2">
      <c r="A1008" s="221" t="s">
        <v>1944</v>
      </c>
      <c r="B1008" s="216" t="s">
        <v>0</v>
      </c>
      <c r="C1008" s="203" t="s">
        <v>1201</v>
      </c>
      <c r="D1008" s="270" t="s">
        <v>51</v>
      </c>
      <c r="E1008" s="68">
        <v>350433</v>
      </c>
      <c r="F1008" s="217" t="s">
        <v>1236</v>
      </c>
      <c r="G1008" s="241">
        <v>96.47</v>
      </c>
      <c r="J1008" s="203" t="s">
        <v>246</v>
      </c>
    </row>
    <row r="1009" spans="1:10" s="203" customFormat="1" x14ac:dyDescent="0.2">
      <c r="A1009" s="221" t="s">
        <v>1944</v>
      </c>
      <c r="B1009" s="216" t="s">
        <v>0</v>
      </c>
      <c r="C1009" s="203" t="s">
        <v>1201</v>
      </c>
      <c r="D1009" s="270" t="s">
        <v>1237</v>
      </c>
      <c r="E1009" s="68">
        <v>352432</v>
      </c>
      <c r="F1009" s="217" t="s">
        <v>1238</v>
      </c>
      <c r="G1009" s="241">
        <v>94.85</v>
      </c>
      <c r="J1009" s="203" t="s">
        <v>246</v>
      </c>
    </row>
    <row r="1010" spans="1:10" s="203" customFormat="1" x14ac:dyDescent="0.2">
      <c r="A1010" s="221" t="s">
        <v>1944</v>
      </c>
      <c r="B1010" s="216" t="s">
        <v>0</v>
      </c>
      <c r="C1010" s="203" t="s">
        <v>1201</v>
      </c>
      <c r="D1010" s="270" t="s">
        <v>1239</v>
      </c>
      <c r="E1010" s="68">
        <v>351137</v>
      </c>
      <c r="F1010" s="217" t="s">
        <v>1240</v>
      </c>
      <c r="G1010" s="241">
        <v>90.9</v>
      </c>
      <c r="J1010" s="203" t="s">
        <v>246</v>
      </c>
    </row>
    <row r="1011" spans="1:10" s="203" customFormat="1" x14ac:dyDescent="0.2">
      <c r="A1011" s="221" t="s">
        <v>1944</v>
      </c>
      <c r="B1011" s="216" t="s">
        <v>0</v>
      </c>
      <c r="C1011" s="203" t="s">
        <v>1201</v>
      </c>
      <c r="D1011" s="270" t="s">
        <v>1241</v>
      </c>
      <c r="E1011" s="68">
        <v>213800</v>
      </c>
      <c r="F1011" s="217" t="s">
        <v>1242</v>
      </c>
      <c r="G1011" s="241">
        <v>35.33</v>
      </c>
      <c r="J1011" s="203" t="s">
        <v>246</v>
      </c>
    </row>
    <row r="1012" spans="1:10" s="203" customFormat="1" x14ac:dyDescent="0.2">
      <c r="A1012" s="221" t="s">
        <v>1944</v>
      </c>
      <c r="B1012" s="216" t="s">
        <v>0</v>
      </c>
      <c r="C1012" s="203" t="s">
        <v>1201</v>
      </c>
      <c r="D1012" s="270" t="s">
        <v>1243</v>
      </c>
      <c r="E1012" s="68">
        <v>22</v>
      </c>
      <c r="F1012" s="217" t="s">
        <v>1244</v>
      </c>
      <c r="G1012" s="241">
        <v>87.9</v>
      </c>
      <c r="J1012" s="203" t="s">
        <v>246</v>
      </c>
    </row>
    <row r="1013" spans="1:10" s="203" customFormat="1" x14ac:dyDescent="0.2">
      <c r="A1013" s="221" t="s">
        <v>1944</v>
      </c>
      <c r="B1013" s="216" t="s">
        <v>0</v>
      </c>
      <c r="C1013" s="203" t="s">
        <v>1201</v>
      </c>
      <c r="D1013" s="270" t="s">
        <v>1245</v>
      </c>
      <c r="E1013" s="68">
        <v>5093</v>
      </c>
      <c r="F1013" s="217" t="s">
        <v>1203</v>
      </c>
      <c r="G1013" s="241">
        <v>88.38</v>
      </c>
      <c r="J1013" s="203" t="s">
        <v>246</v>
      </c>
    </row>
    <row r="1014" spans="1:10" s="203" customFormat="1" x14ac:dyDescent="0.2">
      <c r="A1014" s="221" t="s">
        <v>1944</v>
      </c>
      <c r="B1014" s="216" t="s">
        <v>0</v>
      </c>
      <c r="C1014" s="203" t="s">
        <v>1201</v>
      </c>
      <c r="D1014" s="270" t="s">
        <v>1245</v>
      </c>
      <c r="E1014" s="68">
        <v>5093</v>
      </c>
      <c r="F1014" s="217" t="s">
        <v>1202</v>
      </c>
      <c r="G1014" s="241">
        <v>179.96</v>
      </c>
      <c r="J1014" s="203" t="s">
        <v>246</v>
      </c>
    </row>
    <row r="1015" spans="1:10" s="203" customFormat="1" x14ac:dyDescent="0.2">
      <c r="A1015" s="221" t="s">
        <v>1944</v>
      </c>
      <c r="B1015" s="216" t="s">
        <v>0</v>
      </c>
      <c r="C1015" s="203" t="s">
        <v>1201</v>
      </c>
      <c r="D1015" s="270" t="s">
        <v>1246</v>
      </c>
      <c r="E1015" s="68">
        <v>215859</v>
      </c>
      <c r="F1015" s="217" t="s">
        <v>1247</v>
      </c>
      <c r="G1015" s="241">
        <v>79.900000000000006</v>
      </c>
      <c r="J1015" s="203" t="s">
        <v>246</v>
      </c>
    </row>
    <row r="1016" spans="1:10" s="203" customFormat="1" x14ac:dyDescent="0.2">
      <c r="A1016" s="221" t="s">
        <v>1944</v>
      </c>
      <c r="B1016" s="216" t="s">
        <v>0</v>
      </c>
      <c r="C1016" s="203" t="s">
        <v>1201</v>
      </c>
      <c r="D1016" s="270" t="s">
        <v>1248</v>
      </c>
      <c r="E1016" s="68">
        <v>222695</v>
      </c>
      <c r="F1016" s="217" t="s">
        <v>1249</v>
      </c>
      <c r="G1016" s="241">
        <v>78.36</v>
      </c>
      <c r="H1016" s="271"/>
      <c r="J1016" s="203" t="s">
        <v>246</v>
      </c>
    </row>
    <row r="1017" spans="1:10" s="203" customFormat="1" x14ac:dyDescent="0.2">
      <c r="A1017" s="221" t="s">
        <v>1944</v>
      </c>
      <c r="B1017" s="216" t="s">
        <v>0</v>
      </c>
      <c r="C1017" s="203" t="s">
        <v>1201</v>
      </c>
      <c r="D1017" s="270" t="s">
        <v>1250</v>
      </c>
      <c r="E1017" s="68">
        <v>223589</v>
      </c>
      <c r="F1017" s="217" t="s">
        <v>1251</v>
      </c>
      <c r="G1017" s="241">
        <v>77.959999999999994</v>
      </c>
      <c r="J1017" s="203" t="s">
        <v>246</v>
      </c>
    </row>
    <row r="1018" spans="1:10" s="203" customFormat="1" x14ac:dyDescent="0.2">
      <c r="A1018" s="221" t="s">
        <v>1944</v>
      </c>
      <c r="B1018" s="216" t="s">
        <v>0</v>
      </c>
      <c r="C1018" s="203" t="s">
        <v>1201</v>
      </c>
      <c r="D1018" s="270" t="s">
        <v>1252</v>
      </c>
      <c r="E1018" s="68">
        <v>215972</v>
      </c>
      <c r="F1018" s="217" t="s">
        <v>1253</v>
      </c>
      <c r="G1018" s="241">
        <v>75.489999999999995</v>
      </c>
      <c r="J1018" s="203" t="s">
        <v>246</v>
      </c>
    </row>
    <row r="1019" spans="1:10" s="203" customFormat="1" x14ac:dyDescent="0.2">
      <c r="A1019" s="221" t="s">
        <v>1944</v>
      </c>
      <c r="B1019" s="216" t="s">
        <v>0</v>
      </c>
      <c r="C1019" s="203" t="s">
        <v>1201</v>
      </c>
      <c r="D1019" s="270" t="s">
        <v>1254</v>
      </c>
      <c r="E1019" s="68">
        <v>350262</v>
      </c>
      <c r="F1019" s="217" t="s">
        <v>1255</v>
      </c>
      <c r="G1019" s="241">
        <v>71.97</v>
      </c>
      <c r="J1019" s="203" t="s">
        <v>246</v>
      </c>
    </row>
    <row r="1020" spans="1:10" s="203" customFormat="1" x14ac:dyDescent="0.2">
      <c r="A1020" s="221" t="s">
        <v>1944</v>
      </c>
      <c r="B1020" s="216" t="s">
        <v>0</v>
      </c>
      <c r="C1020" s="203" t="s">
        <v>1201</v>
      </c>
      <c r="D1020" s="270" t="s">
        <v>396</v>
      </c>
      <c r="E1020" s="68">
        <v>350503</v>
      </c>
      <c r="F1020" s="217" t="s">
        <v>1256</v>
      </c>
      <c r="G1020" s="241">
        <v>70.45</v>
      </c>
      <c r="J1020" s="203" t="s">
        <v>246</v>
      </c>
    </row>
    <row r="1021" spans="1:10" s="203" customFormat="1" x14ac:dyDescent="0.2">
      <c r="A1021" s="221" t="s">
        <v>1944</v>
      </c>
      <c r="B1021" s="216" t="s">
        <v>0</v>
      </c>
      <c r="C1021" s="203" t="s">
        <v>1201</v>
      </c>
      <c r="D1021" s="270" t="s">
        <v>1257</v>
      </c>
      <c r="E1021" s="68">
        <v>212484</v>
      </c>
      <c r="F1021" s="217" t="s">
        <v>1258</v>
      </c>
      <c r="G1021" s="241">
        <v>66.239999999999995</v>
      </c>
      <c r="J1021" s="203" t="s">
        <v>246</v>
      </c>
    </row>
    <row r="1022" spans="1:10" s="203" customFormat="1" x14ac:dyDescent="0.2">
      <c r="A1022" s="221" t="s">
        <v>1944</v>
      </c>
      <c r="B1022" s="216" t="s">
        <v>0</v>
      </c>
      <c r="C1022" s="203" t="s">
        <v>1201</v>
      </c>
      <c r="D1022" s="270" t="s">
        <v>1259</v>
      </c>
      <c r="E1022" s="68">
        <v>350852</v>
      </c>
      <c r="F1022" s="217" t="s">
        <v>1260</v>
      </c>
      <c r="G1022" s="241">
        <v>64.900000000000006</v>
      </c>
      <c r="J1022" s="203" t="s">
        <v>246</v>
      </c>
    </row>
    <row r="1023" spans="1:10" s="203" customFormat="1" x14ac:dyDescent="0.2">
      <c r="A1023" s="221" t="s">
        <v>1944</v>
      </c>
      <c r="B1023" s="216" t="s">
        <v>0</v>
      </c>
      <c r="C1023" s="203" t="s">
        <v>1201</v>
      </c>
      <c r="D1023" s="270" t="s">
        <v>1261</v>
      </c>
      <c r="E1023" s="68">
        <v>350036</v>
      </c>
      <c r="F1023" s="217" t="s">
        <v>1262</v>
      </c>
      <c r="G1023" s="241">
        <v>62.99</v>
      </c>
      <c r="J1023" s="203" t="s">
        <v>246</v>
      </c>
    </row>
    <row r="1024" spans="1:10" s="203" customFormat="1" x14ac:dyDescent="0.2">
      <c r="A1024" s="221" t="s">
        <v>1944</v>
      </c>
      <c r="B1024" s="216" t="s">
        <v>0</v>
      </c>
      <c r="C1024" s="203" t="s">
        <v>1201</v>
      </c>
      <c r="D1024" s="270" t="s">
        <v>1263</v>
      </c>
      <c r="E1024" s="68">
        <v>350372</v>
      </c>
      <c r="F1024" s="217" t="s">
        <v>1264</v>
      </c>
      <c r="G1024" s="241">
        <v>17.95</v>
      </c>
      <c r="J1024" s="203" t="s">
        <v>246</v>
      </c>
    </row>
    <row r="1025" spans="1:10" s="203" customFormat="1" x14ac:dyDescent="0.2">
      <c r="A1025" s="221" t="s">
        <v>1944</v>
      </c>
      <c r="B1025" s="216" t="s">
        <v>0</v>
      </c>
      <c r="C1025" s="203" t="s">
        <v>1201</v>
      </c>
      <c r="D1025" s="270" t="s">
        <v>1263</v>
      </c>
      <c r="E1025" s="68">
        <v>350372</v>
      </c>
      <c r="F1025" s="217" t="s">
        <v>1265</v>
      </c>
      <c r="G1025" s="241">
        <v>42.35</v>
      </c>
      <c r="J1025" s="203" t="s">
        <v>246</v>
      </c>
    </row>
    <row r="1026" spans="1:10" s="203" customFormat="1" x14ac:dyDescent="0.2">
      <c r="A1026" s="221" t="s">
        <v>1944</v>
      </c>
      <c r="B1026" s="216" t="s">
        <v>0</v>
      </c>
      <c r="C1026" s="203" t="s">
        <v>1201</v>
      </c>
      <c r="D1026" s="270" t="s">
        <v>53</v>
      </c>
      <c r="E1026" s="68">
        <v>352310</v>
      </c>
      <c r="F1026" s="217"/>
      <c r="G1026" s="241">
        <v>55.84</v>
      </c>
      <c r="J1026" s="203" t="s">
        <v>246</v>
      </c>
    </row>
    <row r="1027" spans="1:10" s="203" customFormat="1" x14ac:dyDescent="0.2">
      <c r="A1027" s="221" t="s">
        <v>1944</v>
      </c>
      <c r="B1027" s="216" t="s">
        <v>0</v>
      </c>
      <c r="C1027" s="203" t="s">
        <v>1201</v>
      </c>
      <c r="D1027" s="270" t="s">
        <v>1266</v>
      </c>
      <c r="E1027" s="68">
        <v>350923</v>
      </c>
      <c r="F1027" s="217" t="s">
        <v>1267</v>
      </c>
      <c r="G1027" s="241">
        <v>51.46</v>
      </c>
      <c r="J1027" s="203" t="s">
        <v>246</v>
      </c>
    </row>
    <row r="1028" spans="1:10" s="203" customFormat="1" x14ac:dyDescent="0.2">
      <c r="A1028" s="221" t="s">
        <v>1944</v>
      </c>
      <c r="B1028" s="216" t="s">
        <v>0</v>
      </c>
      <c r="C1028" s="203" t="s">
        <v>1201</v>
      </c>
      <c r="D1028" s="270" t="s">
        <v>1268</v>
      </c>
      <c r="E1028" s="68">
        <v>226427</v>
      </c>
      <c r="F1028" s="217" t="s">
        <v>1269</v>
      </c>
      <c r="G1028" s="241">
        <v>50.23</v>
      </c>
      <c r="J1028" s="203" t="s">
        <v>246</v>
      </c>
    </row>
    <row r="1029" spans="1:10" s="203" customFormat="1" x14ac:dyDescent="0.2">
      <c r="A1029" s="221" t="s">
        <v>1944</v>
      </c>
      <c r="B1029" s="216" t="s">
        <v>0</v>
      </c>
      <c r="C1029" s="203" t="s">
        <v>1201</v>
      </c>
      <c r="D1029" s="270" t="s">
        <v>1270</v>
      </c>
      <c r="E1029" s="68">
        <v>216262</v>
      </c>
      <c r="F1029" s="217" t="s">
        <v>1271</v>
      </c>
      <c r="G1029" s="241">
        <v>49.95</v>
      </c>
      <c r="J1029" s="203" t="s">
        <v>246</v>
      </c>
    </row>
    <row r="1030" spans="1:10" s="203" customFormat="1" x14ac:dyDescent="0.2">
      <c r="A1030" s="221" t="s">
        <v>1944</v>
      </c>
      <c r="B1030" s="216" t="s">
        <v>0</v>
      </c>
      <c r="C1030" s="203" t="s">
        <v>1201</v>
      </c>
      <c r="D1030" s="270" t="s">
        <v>1272</v>
      </c>
      <c r="E1030" s="68">
        <v>351421</v>
      </c>
      <c r="F1030" s="217" t="s">
        <v>1273</v>
      </c>
      <c r="G1030" s="241">
        <v>46.15</v>
      </c>
      <c r="J1030" s="203" t="s">
        <v>246</v>
      </c>
    </row>
    <row r="1031" spans="1:10" s="203" customFormat="1" x14ac:dyDescent="0.2">
      <c r="A1031" s="221" t="s">
        <v>1944</v>
      </c>
      <c r="B1031" s="216" t="s">
        <v>0</v>
      </c>
      <c r="C1031" s="203" t="s">
        <v>1201</v>
      </c>
      <c r="D1031" s="270" t="s">
        <v>1274</v>
      </c>
      <c r="E1031" s="68">
        <v>350396</v>
      </c>
      <c r="F1031" s="217" t="s">
        <v>1275</v>
      </c>
      <c r="G1031" s="241">
        <v>45.95</v>
      </c>
      <c r="J1031" s="203" t="s">
        <v>246</v>
      </c>
    </row>
    <row r="1032" spans="1:10" s="203" customFormat="1" x14ac:dyDescent="0.2">
      <c r="A1032" s="221" t="s">
        <v>1944</v>
      </c>
      <c r="B1032" s="216" t="s">
        <v>0</v>
      </c>
      <c r="C1032" s="203" t="s">
        <v>1201</v>
      </c>
      <c r="D1032" s="270" t="s">
        <v>1276</v>
      </c>
      <c r="E1032" s="68">
        <v>351303</v>
      </c>
      <c r="F1032" s="217" t="s">
        <v>1277</v>
      </c>
      <c r="G1032" s="241">
        <v>40.950000000000003</v>
      </c>
      <c r="J1032" s="203" t="s">
        <v>246</v>
      </c>
    </row>
    <row r="1033" spans="1:10" s="203" customFormat="1" x14ac:dyDescent="0.2">
      <c r="A1033" s="221" t="s">
        <v>1944</v>
      </c>
      <c r="B1033" s="216" t="s">
        <v>0</v>
      </c>
      <c r="C1033" s="203" t="s">
        <v>1201</v>
      </c>
      <c r="D1033" s="23">
        <v>376228648998</v>
      </c>
      <c r="E1033" s="68">
        <v>226116</v>
      </c>
      <c r="F1033" s="217" t="s">
        <v>1278</v>
      </c>
      <c r="G1033" s="241">
        <v>39.950000000000003</v>
      </c>
      <c r="J1033" s="203" t="s">
        <v>246</v>
      </c>
    </row>
    <row r="1034" spans="1:10" s="203" customFormat="1" x14ac:dyDescent="0.2">
      <c r="A1034" s="221" t="s">
        <v>1944</v>
      </c>
      <c r="B1034" s="216" t="s">
        <v>0</v>
      </c>
      <c r="C1034" s="203" t="s">
        <v>1201</v>
      </c>
      <c r="D1034" s="270" t="s">
        <v>1279</v>
      </c>
      <c r="E1034" s="68">
        <v>215170</v>
      </c>
      <c r="F1034" s="217" t="s">
        <v>1280</v>
      </c>
      <c r="G1034" s="241">
        <v>38.950000000000003</v>
      </c>
      <c r="J1034" s="203" t="s">
        <v>246</v>
      </c>
    </row>
    <row r="1035" spans="1:10" s="203" customFormat="1" x14ac:dyDescent="0.2">
      <c r="A1035" s="221" t="s">
        <v>1944</v>
      </c>
      <c r="B1035" s="216" t="s">
        <v>0</v>
      </c>
      <c r="C1035" s="203" t="s">
        <v>1201</v>
      </c>
      <c r="D1035" s="270" t="s">
        <v>1281</v>
      </c>
      <c r="E1035" s="68">
        <v>350011</v>
      </c>
      <c r="F1035" s="217" t="s">
        <v>1282</v>
      </c>
      <c r="G1035" s="241">
        <v>38.950000000000003</v>
      </c>
      <c r="J1035" s="203" t="s">
        <v>246</v>
      </c>
    </row>
    <row r="1036" spans="1:10" s="203" customFormat="1" x14ac:dyDescent="0.2">
      <c r="A1036" s="221" t="s">
        <v>1944</v>
      </c>
      <c r="B1036" s="216" t="s">
        <v>0</v>
      </c>
      <c r="C1036" s="203" t="s">
        <v>1201</v>
      </c>
      <c r="D1036" s="270" t="s">
        <v>1283</v>
      </c>
      <c r="E1036" s="68">
        <v>351466</v>
      </c>
      <c r="F1036" s="217" t="s">
        <v>1284</v>
      </c>
      <c r="G1036" s="241">
        <v>35.950000000000003</v>
      </c>
      <c r="J1036" s="203" t="s">
        <v>246</v>
      </c>
    </row>
    <row r="1037" spans="1:10" s="203" customFormat="1" x14ac:dyDescent="0.2">
      <c r="A1037" s="221" t="s">
        <v>1944</v>
      </c>
      <c r="B1037" s="216" t="s">
        <v>0</v>
      </c>
      <c r="C1037" s="203" t="s">
        <v>1201</v>
      </c>
      <c r="D1037" s="270" t="s">
        <v>1285</v>
      </c>
      <c r="E1037" s="68">
        <v>211486</v>
      </c>
      <c r="F1037" s="217" t="s">
        <v>1286</v>
      </c>
      <c r="G1037" s="241">
        <v>35.950000000000003</v>
      </c>
      <c r="J1037" s="203" t="s">
        <v>246</v>
      </c>
    </row>
    <row r="1038" spans="1:10" s="203" customFormat="1" x14ac:dyDescent="0.2">
      <c r="A1038" s="221" t="s">
        <v>1944</v>
      </c>
      <c r="B1038" s="216" t="s">
        <v>0</v>
      </c>
      <c r="C1038" s="203" t="s">
        <v>1201</v>
      </c>
      <c r="D1038" s="270" t="s">
        <v>1287</v>
      </c>
      <c r="E1038" s="68">
        <v>212029</v>
      </c>
      <c r="F1038" s="217" t="s">
        <v>1288</v>
      </c>
      <c r="G1038" s="241">
        <v>35.950000000000003</v>
      </c>
      <c r="J1038" s="203" t="s">
        <v>246</v>
      </c>
    </row>
    <row r="1039" spans="1:10" s="203" customFormat="1" x14ac:dyDescent="0.2">
      <c r="A1039" s="221" t="s">
        <v>1944</v>
      </c>
      <c r="B1039" s="216" t="s">
        <v>0</v>
      </c>
      <c r="C1039" s="203" t="s">
        <v>1201</v>
      </c>
      <c r="D1039" s="270" t="s">
        <v>223</v>
      </c>
      <c r="E1039" s="68">
        <v>350622</v>
      </c>
      <c r="F1039" s="217" t="s">
        <v>1289</v>
      </c>
      <c r="G1039" s="241">
        <v>110.85</v>
      </c>
      <c r="J1039" s="203" t="s">
        <v>246</v>
      </c>
    </row>
    <row r="1040" spans="1:10" s="203" customFormat="1" x14ac:dyDescent="0.2">
      <c r="A1040" s="221" t="s">
        <v>1944</v>
      </c>
      <c r="B1040" s="216" t="s">
        <v>0</v>
      </c>
      <c r="C1040" s="203" t="s">
        <v>1201</v>
      </c>
      <c r="D1040" s="270" t="s">
        <v>1290</v>
      </c>
      <c r="E1040" s="68">
        <v>226895</v>
      </c>
      <c r="F1040" s="217" t="s">
        <v>1208</v>
      </c>
      <c r="G1040" s="241">
        <v>109.95</v>
      </c>
      <c r="J1040" s="203" t="s">
        <v>246</v>
      </c>
    </row>
    <row r="1041" spans="1:12" s="203" customFormat="1" x14ac:dyDescent="0.2">
      <c r="A1041" s="221" t="s">
        <v>1944</v>
      </c>
      <c r="B1041" s="216" t="s">
        <v>0</v>
      </c>
      <c r="C1041" s="203" t="s">
        <v>1201</v>
      </c>
      <c r="D1041" s="270" t="s">
        <v>1291</v>
      </c>
      <c r="E1041" s="68">
        <v>351726</v>
      </c>
      <c r="F1041" s="217" t="s">
        <v>1292</v>
      </c>
      <c r="G1041" s="241">
        <v>75.55</v>
      </c>
      <c r="J1041" s="203" t="s">
        <v>246</v>
      </c>
    </row>
    <row r="1042" spans="1:12" s="203" customFormat="1" x14ac:dyDescent="0.2">
      <c r="A1042" s="221" t="s">
        <v>1944</v>
      </c>
      <c r="B1042" s="216" t="s">
        <v>0</v>
      </c>
      <c r="C1042" s="203" t="s">
        <v>1201</v>
      </c>
      <c r="D1042" s="270" t="s">
        <v>1291</v>
      </c>
      <c r="E1042" s="68">
        <v>351726</v>
      </c>
      <c r="F1042" s="217" t="s">
        <v>1293</v>
      </c>
      <c r="G1042" s="241">
        <v>47.47</v>
      </c>
      <c r="J1042" s="203" t="s">
        <v>246</v>
      </c>
    </row>
    <row r="1043" spans="1:12" s="203" customFormat="1" x14ac:dyDescent="0.2">
      <c r="A1043" s="221" t="s">
        <v>1944</v>
      </c>
      <c r="B1043" s="216" t="s">
        <v>0</v>
      </c>
      <c r="C1043" s="203" t="s">
        <v>1201</v>
      </c>
      <c r="D1043" s="270" t="s">
        <v>210</v>
      </c>
      <c r="E1043" s="68"/>
      <c r="F1043" s="217" t="s">
        <v>1294</v>
      </c>
      <c r="G1043" s="241">
        <v>53.45</v>
      </c>
      <c r="J1043" s="203" t="s">
        <v>246</v>
      </c>
    </row>
    <row r="1044" spans="1:12" s="203" customFormat="1" x14ac:dyDescent="0.2">
      <c r="A1044" s="221" t="s">
        <v>1944</v>
      </c>
      <c r="B1044" s="216" t="s">
        <v>0</v>
      </c>
      <c r="C1044" s="203" t="s">
        <v>1201</v>
      </c>
      <c r="D1044" s="270">
        <v>376266790991</v>
      </c>
      <c r="E1044" s="68"/>
      <c r="F1044" s="217" t="s">
        <v>1295</v>
      </c>
      <c r="G1044" s="241">
        <v>47.03</v>
      </c>
      <c r="J1044" s="203" t="s">
        <v>246</v>
      </c>
    </row>
    <row r="1045" spans="1:12" s="203" customFormat="1" x14ac:dyDescent="0.2">
      <c r="A1045" s="221" t="s">
        <v>1944</v>
      </c>
      <c r="B1045" s="216" t="s">
        <v>0</v>
      </c>
      <c r="C1045" s="203" t="s">
        <v>1201</v>
      </c>
      <c r="D1045" s="270" t="s">
        <v>1272</v>
      </c>
      <c r="E1045" s="68"/>
      <c r="F1045" s="217" t="s">
        <v>1296</v>
      </c>
      <c r="G1045" s="241">
        <v>46.96</v>
      </c>
      <c r="J1045" s="203" t="s">
        <v>246</v>
      </c>
    </row>
    <row r="1046" spans="1:12" s="19" customFormat="1" x14ac:dyDescent="0.2">
      <c r="A1046" s="103" t="s">
        <v>1944</v>
      </c>
      <c r="B1046" s="20" t="s">
        <v>0</v>
      </c>
      <c r="D1046" s="177" t="s">
        <v>51</v>
      </c>
      <c r="E1046" s="29"/>
      <c r="F1046" s="120" t="s">
        <v>52</v>
      </c>
      <c r="G1046" s="188">
        <v>97.49</v>
      </c>
      <c r="J1046" s="19" t="s">
        <v>12</v>
      </c>
    </row>
    <row r="1047" spans="1:12" s="19" customFormat="1" x14ac:dyDescent="0.2">
      <c r="A1047" s="214">
        <v>42535</v>
      </c>
      <c r="B1047" s="130" t="s">
        <v>127</v>
      </c>
      <c r="C1047" s="130"/>
      <c r="D1047" s="56">
        <v>376271346995</v>
      </c>
      <c r="E1047" s="29">
        <v>351198</v>
      </c>
      <c r="F1047" s="120"/>
      <c r="G1047" s="188">
        <f>20.46+102.49</f>
        <v>122.94999999999999</v>
      </c>
      <c r="H1047" s="134" t="s">
        <v>1297</v>
      </c>
      <c r="J1047" s="275" t="s">
        <v>191</v>
      </c>
      <c r="K1047" s="276"/>
      <c r="L1047" s="276"/>
    </row>
    <row r="1048" spans="1:12" s="19" customFormat="1" x14ac:dyDescent="0.2">
      <c r="A1048" s="214">
        <v>42536</v>
      </c>
      <c r="B1048" s="130" t="s">
        <v>127</v>
      </c>
      <c r="C1048" s="130"/>
      <c r="D1048" s="56">
        <v>376271346995</v>
      </c>
      <c r="E1048" s="29">
        <v>351198</v>
      </c>
      <c r="F1048" s="120"/>
      <c r="G1048" s="188">
        <f>47.85+214.9</f>
        <v>262.75</v>
      </c>
      <c r="H1048" s="134" t="s">
        <v>1298</v>
      </c>
      <c r="J1048" s="275" t="s">
        <v>191</v>
      </c>
    </row>
    <row r="1049" spans="1:12" s="19" customFormat="1" x14ac:dyDescent="0.2">
      <c r="A1049" s="214">
        <v>42537</v>
      </c>
      <c r="B1049" s="130" t="s">
        <v>127</v>
      </c>
      <c r="C1049" s="130"/>
      <c r="D1049" s="56">
        <v>376271346995</v>
      </c>
      <c r="E1049" s="29">
        <v>351198</v>
      </c>
      <c r="F1049" s="120"/>
      <c r="G1049" s="188">
        <f>10.08+33.87</f>
        <v>43.949999999999996</v>
      </c>
      <c r="H1049" s="134" t="s">
        <v>1299</v>
      </c>
      <c r="J1049" s="275" t="s">
        <v>191</v>
      </c>
    </row>
    <row r="1050" spans="1:12" s="19" customFormat="1" x14ac:dyDescent="0.2">
      <c r="A1050" s="214">
        <v>42534</v>
      </c>
      <c r="B1050" s="130" t="s">
        <v>127</v>
      </c>
      <c r="C1050" s="130"/>
      <c r="D1050" s="56">
        <v>376238825990</v>
      </c>
      <c r="E1050" s="29">
        <v>201228</v>
      </c>
      <c r="F1050" s="120"/>
      <c r="G1050" s="188">
        <v>47.5</v>
      </c>
      <c r="H1050" s="134" t="s">
        <v>1300</v>
      </c>
      <c r="J1050" s="275" t="s">
        <v>191</v>
      </c>
    </row>
    <row r="1051" spans="1:12" s="19" customFormat="1" x14ac:dyDescent="0.2">
      <c r="A1051" s="214">
        <v>42537</v>
      </c>
      <c r="B1051" s="130" t="s">
        <v>127</v>
      </c>
      <c r="C1051" s="130"/>
      <c r="D1051" s="56">
        <v>376263652996</v>
      </c>
      <c r="E1051" s="29">
        <v>350330</v>
      </c>
      <c r="F1051" s="120"/>
      <c r="G1051" s="188">
        <f>24.41+66.49</f>
        <v>90.899999999999991</v>
      </c>
      <c r="H1051" s="134" t="s">
        <v>1301</v>
      </c>
      <c r="J1051" s="275" t="s">
        <v>1302</v>
      </c>
    </row>
    <row r="1052" spans="1:12" s="19" customFormat="1" x14ac:dyDescent="0.2">
      <c r="A1052" s="214">
        <v>42537</v>
      </c>
      <c r="B1052" s="130" t="s">
        <v>127</v>
      </c>
      <c r="C1052" s="130"/>
      <c r="D1052" s="56">
        <v>376263652996</v>
      </c>
      <c r="E1052" s="29">
        <v>350330</v>
      </c>
      <c r="F1052" s="120"/>
      <c r="G1052" s="188">
        <f>22.81+38.13</f>
        <v>60.94</v>
      </c>
      <c r="H1052" s="134" t="s">
        <v>1303</v>
      </c>
      <c r="J1052" s="275" t="s">
        <v>1302</v>
      </c>
    </row>
    <row r="1053" spans="1:12" s="203" customFormat="1" x14ac:dyDescent="0.2">
      <c r="A1053" s="215">
        <v>42538</v>
      </c>
      <c r="B1053" s="222" t="s">
        <v>127</v>
      </c>
      <c r="C1053" s="203" t="s">
        <v>151</v>
      </c>
      <c r="D1053" s="59">
        <v>376271988994</v>
      </c>
      <c r="E1053" s="68">
        <v>351703</v>
      </c>
      <c r="F1053" s="217"/>
      <c r="G1053" s="241">
        <v>294.24</v>
      </c>
      <c r="H1053" s="223" t="s">
        <v>1304</v>
      </c>
      <c r="J1053" s="252" t="s">
        <v>246</v>
      </c>
    </row>
    <row r="1054" spans="1:12" s="19" customFormat="1" x14ac:dyDescent="0.2">
      <c r="A1054" s="214">
        <v>42533</v>
      </c>
      <c r="B1054" s="130" t="s">
        <v>127</v>
      </c>
      <c r="C1054" s="130"/>
      <c r="D1054" s="56">
        <v>376270713997</v>
      </c>
      <c r="E1054" s="29">
        <v>351215</v>
      </c>
      <c r="F1054" s="120"/>
      <c r="G1054" s="188">
        <f>18.26+34.74</f>
        <v>53</v>
      </c>
      <c r="H1054" s="134" t="s">
        <v>1305</v>
      </c>
      <c r="J1054" s="275" t="s">
        <v>1306</v>
      </c>
    </row>
    <row r="1055" spans="1:12" s="19" customFormat="1" x14ac:dyDescent="0.2">
      <c r="A1055" s="214">
        <v>42533</v>
      </c>
      <c r="B1055" s="130" t="s">
        <v>127</v>
      </c>
      <c r="C1055" s="130"/>
      <c r="D1055" s="56">
        <v>376270713997</v>
      </c>
      <c r="E1055" s="29">
        <v>351215</v>
      </c>
      <c r="F1055" s="120"/>
      <c r="G1055" s="188">
        <f>63.66+133.96</f>
        <v>197.62</v>
      </c>
      <c r="H1055" s="134" t="s">
        <v>1307</v>
      </c>
      <c r="J1055" s="275" t="s">
        <v>1306</v>
      </c>
    </row>
    <row r="1056" spans="1:12" s="19" customFormat="1" x14ac:dyDescent="0.2">
      <c r="A1056" s="214">
        <v>42533</v>
      </c>
      <c r="B1056" s="130" t="s">
        <v>127</v>
      </c>
      <c r="C1056" s="130"/>
      <c r="D1056" s="56">
        <v>376270713997</v>
      </c>
      <c r="E1056" s="29">
        <v>351215</v>
      </c>
      <c r="F1056" s="120"/>
      <c r="G1056" s="188">
        <f>45.32+81.3</f>
        <v>126.62</v>
      </c>
      <c r="H1056" s="134" t="s">
        <v>1308</v>
      </c>
      <c r="J1056" s="275" t="s">
        <v>1306</v>
      </c>
    </row>
    <row r="1057" spans="1:10" s="19" customFormat="1" x14ac:dyDescent="0.2">
      <c r="A1057" s="214">
        <v>42534</v>
      </c>
      <c r="B1057" s="130" t="s">
        <v>127</v>
      </c>
      <c r="C1057" s="130"/>
      <c r="D1057" s="56">
        <v>376270713997</v>
      </c>
      <c r="E1057" s="29">
        <v>351215</v>
      </c>
      <c r="F1057" s="120"/>
      <c r="G1057" s="188">
        <f>40.48+92.41</f>
        <v>132.88999999999999</v>
      </c>
      <c r="H1057" s="134" t="s">
        <v>1309</v>
      </c>
      <c r="J1057" s="275" t="s">
        <v>1306</v>
      </c>
    </row>
    <row r="1058" spans="1:10" s="19" customFormat="1" x14ac:dyDescent="0.2">
      <c r="A1058" s="214">
        <v>42534</v>
      </c>
      <c r="B1058" s="130" t="s">
        <v>127</v>
      </c>
      <c r="C1058" s="130"/>
      <c r="D1058" s="56">
        <v>376270713997</v>
      </c>
      <c r="E1058" s="29">
        <v>351215</v>
      </c>
      <c r="F1058" s="120"/>
      <c r="G1058" s="188">
        <f>50.44+83.5</f>
        <v>133.94</v>
      </c>
      <c r="H1058" s="134" t="s">
        <v>1310</v>
      </c>
      <c r="J1058" s="275" t="s">
        <v>1306</v>
      </c>
    </row>
    <row r="1059" spans="1:10" s="19" customFormat="1" x14ac:dyDescent="0.2">
      <c r="A1059" s="214">
        <v>42534</v>
      </c>
      <c r="B1059" s="130" t="s">
        <v>127</v>
      </c>
      <c r="C1059" s="130"/>
      <c r="D1059" s="56">
        <v>376270713997</v>
      </c>
      <c r="E1059" s="29">
        <v>351215</v>
      </c>
      <c r="F1059" s="120"/>
      <c r="G1059" s="188">
        <f>25.69+41.75</f>
        <v>67.44</v>
      </c>
      <c r="H1059" s="134" t="s">
        <v>1311</v>
      </c>
      <c r="J1059" s="275" t="s">
        <v>1306</v>
      </c>
    </row>
    <row r="1060" spans="1:10" s="19" customFormat="1" x14ac:dyDescent="0.2">
      <c r="A1060" s="214">
        <v>42534</v>
      </c>
      <c r="B1060" s="130" t="s">
        <v>127</v>
      </c>
      <c r="C1060" s="130"/>
      <c r="D1060" s="56">
        <v>376270713997</v>
      </c>
      <c r="E1060" s="29">
        <v>351215</v>
      </c>
      <c r="F1060" s="120"/>
      <c r="G1060" s="188">
        <f>31+57.2</f>
        <v>88.2</v>
      </c>
      <c r="H1060" s="134" t="s">
        <v>1312</v>
      </c>
      <c r="J1060" s="275" t="s">
        <v>1306</v>
      </c>
    </row>
    <row r="1061" spans="1:10" s="19" customFormat="1" x14ac:dyDescent="0.2">
      <c r="A1061" s="214">
        <v>42534</v>
      </c>
      <c r="B1061" s="130" t="s">
        <v>127</v>
      </c>
      <c r="C1061" s="130"/>
      <c r="D1061" s="56">
        <v>376270713997</v>
      </c>
      <c r="E1061" s="29">
        <v>351215</v>
      </c>
      <c r="F1061" s="120"/>
      <c r="G1061" s="188">
        <f>42.33+78.63</f>
        <v>120.96</v>
      </c>
      <c r="H1061" s="134" t="s">
        <v>1313</v>
      </c>
      <c r="J1061" s="275" t="s">
        <v>1306</v>
      </c>
    </row>
    <row r="1062" spans="1:10" s="19" customFormat="1" x14ac:dyDescent="0.2">
      <c r="A1062" s="214">
        <v>42534</v>
      </c>
      <c r="B1062" s="130" t="s">
        <v>127</v>
      </c>
      <c r="C1062" s="130"/>
      <c r="D1062" s="56">
        <v>376270713997</v>
      </c>
      <c r="E1062" s="29">
        <v>351215</v>
      </c>
      <c r="F1062" s="120"/>
      <c r="G1062" s="188">
        <f>35.47+82.53</f>
        <v>118</v>
      </c>
      <c r="H1062" s="134" t="s">
        <v>1314</v>
      </c>
      <c r="J1062" s="275" t="s">
        <v>1306</v>
      </c>
    </row>
    <row r="1063" spans="1:10" s="19" customFormat="1" x14ac:dyDescent="0.2">
      <c r="A1063" s="214">
        <v>42534</v>
      </c>
      <c r="B1063" s="130" t="s">
        <v>127</v>
      </c>
      <c r="C1063" s="130"/>
      <c r="D1063" s="56">
        <v>376270713997</v>
      </c>
      <c r="E1063" s="29">
        <v>351215</v>
      </c>
      <c r="F1063" s="120"/>
      <c r="G1063" s="188">
        <f>39.36+57</f>
        <v>96.36</v>
      </c>
      <c r="H1063" s="134" t="s">
        <v>1315</v>
      </c>
      <c r="J1063" s="275" t="s">
        <v>1306</v>
      </c>
    </row>
    <row r="1064" spans="1:10" s="19" customFormat="1" x14ac:dyDescent="0.2">
      <c r="A1064" s="214">
        <v>42535</v>
      </c>
      <c r="B1064" s="130" t="s">
        <v>127</v>
      </c>
      <c r="C1064" s="130"/>
      <c r="D1064" s="56">
        <v>376270713997</v>
      </c>
      <c r="E1064" s="29">
        <v>351215</v>
      </c>
      <c r="F1064" s="120"/>
      <c r="G1064" s="188">
        <f>27.1+60.9</f>
        <v>88</v>
      </c>
      <c r="H1064" s="134" t="s">
        <v>1316</v>
      </c>
      <c r="J1064" s="275" t="s">
        <v>1306</v>
      </c>
    </row>
    <row r="1065" spans="1:10" s="19" customFormat="1" x14ac:dyDescent="0.2">
      <c r="A1065" s="214">
        <v>42536</v>
      </c>
      <c r="B1065" s="130" t="s">
        <v>127</v>
      </c>
      <c r="C1065" s="130"/>
      <c r="D1065" s="56">
        <v>376270713997</v>
      </c>
      <c r="E1065" s="29">
        <v>351215</v>
      </c>
      <c r="F1065" s="120"/>
      <c r="G1065" s="188">
        <f>16.2+33.3</f>
        <v>49.5</v>
      </c>
      <c r="H1065" s="134" t="s">
        <v>1317</v>
      </c>
      <c r="J1065" s="275" t="s">
        <v>1306</v>
      </c>
    </row>
    <row r="1066" spans="1:10" s="19" customFormat="1" x14ac:dyDescent="0.2">
      <c r="A1066" s="214">
        <v>42536</v>
      </c>
      <c r="B1066" s="130" t="s">
        <v>127</v>
      </c>
      <c r="C1066" s="130"/>
      <c r="D1066" s="56">
        <v>376270713997</v>
      </c>
      <c r="E1066" s="29">
        <v>351215</v>
      </c>
      <c r="F1066" s="120"/>
      <c r="G1066" s="188">
        <f>64.46+115.3</f>
        <v>179.76</v>
      </c>
      <c r="H1066" s="134" t="s">
        <v>1318</v>
      </c>
      <c r="J1066" s="275" t="s">
        <v>1306</v>
      </c>
    </row>
    <row r="1067" spans="1:10" s="19" customFormat="1" x14ac:dyDescent="0.2">
      <c r="A1067" s="214">
        <v>42537</v>
      </c>
      <c r="B1067" s="130" t="s">
        <v>127</v>
      </c>
      <c r="C1067" s="130"/>
      <c r="D1067" s="56">
        <v>376270713997</v>
      </c>
      <c r="E1067" s="29">
        <v>351215</v>
      </c>
      <c r="F1067" s="120"/>
      <c r="G1067" s="188">
        <f>45.36+95.64</f>
        <v>141</v>
      </c>
      <c r="H1067" s="134" t="s">
        <v>1319</v>
      </c>
      <c r="J1067" s="275" t="s">
        <v>1306</v>
      </c>
    </row>
    <row r="1068" spans="1:10" s="19" customFormat="1" x14ac:dyDescent="0.2">
      <c r="A1068" s="214">
        <v>42538</v>
      </c>
      <c r="B1068" s="130" t="s">
        <v>127</v>
      </c>
      <c r="C1068" s="130"/>
      <c r="D1068" s="56">
        <v>376270713997</v>
      </c>
      <c r="E1068" s="29">
        <v>351215</v>
      </c>
      <c r="F1068" s="120"/>
      <c r="G1068" s="188">
        <f>36.11+72.06</f>
        <v>108.17</v>
      </c>
      <c r="H1068" s="134" t="s">
        <v>1320</v>
      </c>
      <c r="J1068" s="275" t="s">
        <v>1306</v>
      </c>
    </row>
    <row r="1069" spans="1:10" s="19" customFormat="1" x14ac:dyDescent="0.2">
      <c r="A1069" s="214">
        <v>42538</v>
      </c>
      <c r="B1069" s="130" t="s">
        <v>127</v>
      </c>
      <c r="C1069" s="130"/>
      <c r="D1069" s="56">
        <v>376270713997</v>
      </c>
      <c r="E1069" s="29">
        <v>351215</v>
      </c>
      <c r="F1069" s="120"/>
      <c r="G1069" s="188">
        <f>60.54+96.21</f>
        <v>156.75</v>
      </c>
      <c r="H1069" s="134" t="s">
        <v>1321</v>
      </c>
      <c r="J1069" s="275" t="s">
        <v>1306</v>
      </c>
    </row>
    <row r="1070" spans="1:10" s="203" customFormat="1" x14ac:dyDescent="0.2">
      <c r="A1070" s="221" t="s">
        <v>259</v>
      </c>
      <c r="B1070" s="216" t="s">
        <v>0</v>
      </c>
      <c r="C1070" s="203" t="s">
        <v>1201</v>
      </c>
      <c r="D1070" s="272" t="s">
        <v>1322</v>
      </c>
      <c r="E1070" s="68">
        <v>351735</v>
      </c>
      <c r="F1070" s="217" t="s">
        <v>1323</v>
      </c>
      <c r="G1070" s="241">
        <v>111.91</v>
      </c>
      <c r="J1070" s="220" t="s">
        <v>246</v>
      </c>
    </row>
    <row r="1071" spans="1:10" s="203" customFormat="1" x14ac:dyDescent="0.2">
      <c r="A1071" s="221" t="s">
        <v>259</v>
      </c>
      <c r="B1071" s="216" t="s">
        <v>0</v>
      </c>
      <c r="C1071" s="203" t="s">
        <v>1201</v>
      </c>
      <c r="D1071" s="272" t="s">
        <v>1324</v>
      </c>
      <c r="E1071" s="68">
        <v>1052</v>
      </c>
      <c r="F1071" s="217" t="s">
        <v>1325</v>
      </c>
      <c r="G1071" s="241">
        <v>110.85</v>
      </c>
      <c r="J1071" s="220" t="s">
        <v>246</v>
      </c>
    </row>
    <row r="1072" spans="1:10" s="203" customFormat="1" x14ac:dyDescent="0.2">
      <c r="A1072" s="221" t="s">
        <v>259</v>
      </c>
      <c r="B1072" s="216" t="s">
        <v>0</v>
      </c>
      <c r="C1072" s="203" t="s">
        <v>1201</v>
      </c>
      <c r="D1072" s="272" t="s">
        <v>1326</v>
      </c>
      <c r="E1072" s="68">
        <v>352038</v>
      </c>
      <c r="F1072" s="217" t="s">
        <v>1327</v>
      </c>
      <c r="G1072" s="241">
        <v>73.900000000000006</v>
      </c>
      <c r="J1072" s="220" t="s">
        <v>246</v>
      </c>
    </row>
    <row r="1073" spans="1:15" s="19" customFormat="1" x14ac:dyDescent="0.2">
      <c r="A1073" s="103" t="s">
        <v>259</v>
      </c>
      <c r="B1073" s="20" t="s">
        <v>0</v>
      </c>
      <c r="D1073" s="22" t="s">
        <v>56</v>
      </c>
      <c r="E1073" s="22">
        <v>81325</v>
      </c>
      <c r="F1073" s="120" t="s">
        <v>57</v>
      </c>
      <c r="G1073" s="188">
        <v>0.01</v>
      </c>
    </row>
    <row r="1074" spans="1:15" s="19" customFormat="1" x14ac:dyDescent="0.2">
      <c r="A1074" s="214">
        <v>42541</v>
      </c>
      <c r="B1074" s="20" t="s">
        <v>127</v>
      </c>
      <c r="D1074" s="120" t="s">
        <v>286</v>
      </c>
      <c r="E1074" s="29">
        <v>350330</v>
      </c>
      <c r="F1074" s="120"/>
      <c r="G1074" s="188">
        <f>10.3+50.64</f>
        <v>60.94</v>
      </c>
      <c r="H1074" s="19">
        <v>2085090</v>
      </c>
      <c r="J1074" s="277" t="s">
        <v>1328</v>
      </c>
      <c r="K1074" s="277"/>
      <c r="L1074" s="277"/>
      <c r="M1074" s="277"/>
      <c r="N1074" s="157"/>
      <c r="O1074" s="157"/>
    </row>
    <row r="1075" spans="1:15" s="19" customFormat="1" x14ac:dyDescent="0.2">
      <c r="A1075" s="214">
        <v>42543</v>
      </c>
      <c r="B1075" s="20" t="s">
        <v>127</v>
      </c>
      <c r="D1075" s="120" t="s">
        <v>286</v>
      </c>
      <c r="E1075" s="29">
        <v>350330</v>
      </c>
      <c r="F1075" s="120"/>
      <c r="G1075" s="188">
        <f>13.76+77.09</f>
        <v>90.850000000000009</v>
      </c>
      <c r="H1075" s="19">
        <v>2093858</v>
      </c>
      <c r="J1075" s="277" t="s">
        <v>1328</v>
      </c>
      <c r="K1075" s="277"/>
    </row>
    <row r="1076" spans="1:15" s="19" customFormat="1" x14ac:dyDescent="0.2">
      <c r="A1076" s="214">
        <v>42542</v>
      </c>
      <c r="B1076" s="20" t="s">
        <v>127</v>
      </c>
      <c r="C1076" s="130"/>
      <c r="D1076" s="56">
        <v>376270713997</v>
      </c>
      <c r="E1076" s="29">
        <v>351215</v>
      </c>
      <c r="F1076" s="120"/>
      <c r="G1076" s="188">
        <f>53.52+121.48</f>
        <v>175</v>
      </c>
      <c r="H1076" s="134" t="s">
        <v>1329</v>
      </c>
      <c r="J1076" s="277" t="s">
        <v>1330</v>
      </c>
    </row>
    <row r="1077" spans="1:15" s="19" customFormat="1" x14ac:dyDescent="0.2">
      <c r="A1077" s="214">
        <v>42542</v>
      </c>
      <c r="B1077" s="20" t="s">
        <v>127</v>
      </c>
      <c r="C1077" s="130"/>
      <c r="D1077" s="56">
        <v>376270713997</v>
      </c>
      <c r="E1077" s="29">
        <v>351215</v>
      </c>
      <c r="F1077" s="120"/>
      <c r="G1077" s="188">
        <f>20.96+30.04</f>
        <v>51</v>
      </c>
      <c r="H1077" s="134" t="s">
        <v>1331</v>
      </c>
      <c r="J1077" s="277" t="s">
        <v>1330</v>
      </c>
    </row>
    <row r="1078" spans="1:15" s="19" customFormat="1" x14ac:dyDescent="0.2">
      <c r="A1078" s="214">
        <v>42543</v>
      </c>
      <c r="B1078" s="20" t="s">
        <v>127</v>
      </c>
      <c r="C1078" s="130"/>
      <c r="D1078" s="56">
        <v>376270713997</v>
      </c>
      <c r="E1078" s="29">
        <v>351215</v>
      </c>
      <c r="F1078" s="120"/>
      <c r="G1078" s="188">
        <f>37.29+82.06</f>
        <v>119.35</v>
      </c>
      <c r="H1078" s="134" t="s">
        <v>1332</v>
      </c>
      <c r="J1078" s="277" t="s">
        <v>1330</v>
      </c>
    </row>
    <row r="1079" spans="1:15" s="19" customFormat="1" x14ac:dyDescent="0.2">
      <c r="A1079" s="214">
        <v>42543</v>
      </c>
      <c r="B1079" s="20" t="s">
        <v>127</v>
      </c>
      <c r="C1079" s="130"/>
      <c r="D1079" s="56">
        <v>376270713997</v>
      </c>
      <c r="E1079" s="29">
        <v>351215</v>
      </c>
      <c r="F1079" s="120"/>
      <c r="G1079" s="188">
        <f>42.42+56.58</f>
        <v>99</v>
      </c>
      <c r="H1079" s="134" t="s">
        <v>1333</v>
      </c>
      <c r="J1079" s="277" t="s">
        <v>1330</v>
      </c>
    </row>
    <row r="1080" spans="1:15" s="19" customFormat="1" x14ac:dyDescent="0.2">
      <c r="A1080" s="214">
        <v>42543</v>
      </c>
      <c r="B1080" s="20" t="s">
        <v>127</v>
      </c>
      <c r="C1080" s="130"/>
      <c r="D1080" s="56">
        <v>376270713997</v>
      </c>
      <c r="E1080" s="29">
        <v>351215</v>
      </c>
      <c r="F1080" s="120"/>
      <c r="G1080" s="188">
        <f>33.37+78.63</f>
        <v>112</v>
      </c>
      <c r="H1080" s="134" t="s">
        <v>1334</v>
      </c>
      <c r="J1080" s="277" t="s">
        <v>1330</v>
      </c>
    </row>
    <row r="1081" spans="1:15" s="19" customFormat="1" x14ac:dyDescent="0.2">
      <c r="A1081" s="214">
        <v>42543</v>
      </c>
      <c r="B1081" s="20" t="s">
        <v>127</v>
      </c>
      <c r="C1081" s="130"/>
      <c r="D1081" s="56">
        <v>376270713997</v>
      </c>
      <c r="E1081" s="29">
        <v>351215</v>
      </c>
      <c r="F1081" s="120"/>
      <c r="G1081" s="188">
        <f>20.32+42.68</f>
        <v>63</v>
      </c>
      <c r="H1081" s="134" t="s">
        <v>1335</v>
      </c>
      <c r="J1081" s="277" t="s">
        <v>1330</v>
      </c>
    </row>
    <row r="1082" spans="1:15" s="19" customFormat="1" x14ac:dyDescent="0.2">
      <c r="A1082" s="214">
        <v>42544</v>
      </c>
      <c r="B1082" s="20" t="s">
        <v>127</v>
      </c>
      <c r="C1082" s="130"/>
      <c r="D1082" s="56">
        <v>376270713997</v>
      </c>
      <c r="E1082" s="29">
        <v>351215</v>
      </c>
      <c r="F1082" s="120"/>
      <c r="G1082" s="188">
        <f>20.25+35.55</f>
        <v>55.8</v>
      </c>
      <c r="H1082" s="134" t="s">
        <v>1336</v>
      </c>
      <c r="J1082" s="277" t="s">
        <v>1330</v>
      </c>
    </row>
    <row r="1083" spans="1:15" s="19" customFormat="1" x14ac:dyDescent="0.2">
      <c r="A1083" s="214">
        <v>42544</v>
      </c>
      <c r="B1083" s="20" t="s">
        <v>127</v>
      </c>
      <c r="C1083" s="130"/>
      <c r="D1083" s="56">
        <v>376270713997</v>
      </c>
      <c r="E1083" s="29">
        <v>351215</v>
      </c>
      <c r="F1083" s="120"/>
      <c r="G1083" s="188">
        <f>100.79+233.21</f>
        <v>334</v>
      </c>
      <c r="H1083" s="134" t="s">
        <v>1337</v>
      </c>
      <c r="J1083" s="277" t="s">
        <v>1330</v>
      </c>
    </row>
    <row r="1084" spans="1:15" s="19" customFormat="1" x14ac:dyDescent="0.2">
      <c r="A1084" s="214">
        <v>42544</v>
      </c>
      <c r="B1084" s="20" t="s">
        <v>127</v>
      </c>
      <c r="C1084" s="130"/>
      <c r="D1084" s="56">
        <v>376270713997</v>
      </c>
      <c r="E1084" s="29">
        <v>351215</v>
      </c>
      <c r="F1084" s="120"/>
      <c r="G1084" s="188">
        <f>70.23+147.77</f>
        <v>218</v>
      </c>
      <c r="H1084" s="134" t="s">
        <v>1338</v>
      </c>
      <c r="J1084" s="277" t="s">
        <v>1330</v>
      </c>
    </row>
    <row r="1085" spans="1:15" s="19" customFormat="1" x14ac:dyDescent="0.2">
      <c r="A1085" s="214">
        <v>42545</v>
      </c>
      <c r="B1085" s="20" t="s">
        <v>127</v>
      </c>
      <c r="C1085" s="130"/>
      <c r="D1085" s="56">
        <v>376270713997</v>
      </c>
      <c r="E1085" s="29">
        <v>351215</v>
      </c>
      <c r="F1085" s="120"/>
      <c r="G1085" s="188">
        <f>34.63+43.49</f>
        <v>78.12</v>
      </c>
      <c r="H1085" s="134" t="s">
        <v>1339</v>
      </c>
      <c r="J1085" s="277" t="s">
        <v>1330</v>
      </c>
    </row>
    <row r="1086" spans="1:15" s="19" customFormat="1" x14ac:dyDescent="0.2">
      <c r="A1086" s="214">
        <v>42545</v>
      </c>
      <c r="B1086" s="20" t="s">
        <v>127</v>
      </c>
      <c r="C1086" s="130"/>
      <c r="D1086" s="56">
        <v>376270713997</v>
      </c>
      <c r="E1086" s="29">
        <v>351215</v>
      </c>
      <c r="F1086" s="120"/>
      <c r="G1086" s="188">
        <f>44+72.39</f>
        <v>116.39</v>
      </c>
      <c r="H1086" s="134" t="s">
        <v>1340</v>
      </c>
      <c r="J1086" s="277" t="s">
        <v>1330</v>
      </c>
    </row>
    <row r="1087" spans="1:15" s="203" customFormat="1" x14ac:dyDescent="0.2">
      <c r="A1087" s="221" t="s">
        <v>1945</v>
      </c>
      <c r="B1087" s="216" t="s">
        <v>0</v>
      </c>
      <c r="C1087" s="203" t="s">
        <v>1201</v>
      </c>
      <c r="D1087" s="270" t="s">
        <v>1341</v>
      </c>
      <c r="E1087" s="68"/>
      <c r="F1087" s="217" t="s">
        <v>1342</v>
      </c>
      <c r="G1087" s="241">
        <v>180.15</v>
      </c>
      <c r="J1087" s="273" t="s">
        <v>246</v>
      </c>
    </row>
    <row r="1088" spans="1:15" s="203" customFormat="1" x14ac:dyDescent="0.2">
      <c r="A1088" s="221" t="s">
        <v>1945</v>
      </c>
      <c r="B1088" s="216" t="s">
        <v>0</v>
      </c>
      <c r="C1088" s="203" t="s">
        <v>1201</v>
      </c>
      <c r="D1088" s="270" t="s">
        <v>392</v>
      </c>
      <c r="E1088" s="68"/>
      <c r="F1088" s="217" t="s">
        <v>1343</v>
      </c>
      <c r="G1088" s="241">
        <v>107.96</v>
      </c>
      <c r="J1088" s="273" t="s">
        <v>246</v>
      </c>
    </row>
    <row r="1089" spans="1:10" s="203" customFormat="1" x14ac:dyDescent="0.2">
      <c r="A1089" s="221" t="s">
        <v>1945</v>
      </c>
      <c r="B1089" s="216" t="s">
        <v>0</v>
      </c>
      <c r="C1089" s="203" t="s">
        <v>1201</v>
      </c>
      <c r="D1089" s="270" t="s">
        <v>211</v>
      </c>
      <c r="E1089" s="68"/>
      <c r="F1089" s="217" t="s">
        <v>1344</v>
      </c>
      <c r="G1089" s="241">
        <v>39.229999999999997</v>
      </c>
      <c r="J1089" s="273" t="s">
        <v>246</v>
      </c>
    </row>
    <row r="1090" spans="1:10" s="203" customFormat="1" x14ac:dyDescent="0.2">
      <c r="A1090" s="221" t="s">
        <v>1945</v>
      </c>
      <c r="B1090" s="216" t="s">
        <v>0</v>
      </c>
      <c r="C1090" s="203" t="s">
        <v>1201</v>
      </c>
      <c r="D1090" s="270" t="s">
        <v>1345</v>
      </c>
      <c r="E1090" s="68"/>
      <c r="F1090" s="217" t="s">
        <v>1346</v>
      </c>
      <c r="G1090" s="241">
        <v>72.260000000000005</v>
      </c>
      <c r="J1090" s="273" t="s">
        <v>246</v>
      </c>
    </row>
    <row r="1091" spans="1:10" s="203" customFormat="1" x14ac:dyDescent="0.2">
      <c r="A1091" s="221" t="s">
        <v>1945</v>
      </c>
      <c r="B1091" s="216" t="s">
        <v>0</v>
      </c>
      <c r="C1091" s="203" t="s">
        <v>1201</v>
      </c>
      <c r="D1091" s="270" t="s">
        <v>1347</v>
      </c>
      <c r="E1091" s="68"/>
      <c r="F1091" s="217" t="s">
        <v>1348</v>
      </c>
      <c r="G1091" s="241">
        <v>18.95</v>
      </c>
      <c r="J1091" s="273" t="s">
        <v>246</v>
      </c>
    </row>
    <row r="1092" spans="1:10" s="203" customFormat="1" x14ac:dyDescent="0.2">
      <c r="A1092" s="221" t="s">
        <v>1945</v>
      </c>
      <c r="B1092" s="216" t="s">
        <v>0</v>
      </c>
      <c r="C1092" s="203" t="s">
        <v>1201</v>
      </c>
      <c r="D1092" s="270" t="s">
        <v>1349</v>
      </c>
      <c r="E1092" s="68"/>
      <c r="F1092" s="217" t="s">
        <v>1350</v>
      </c>
      <c r="G1092" s="241">
        <v>19.03</v>
      </c>
      <c r="J1092" s="273" t="s">
        <v>246</v>
      </c>
    </row>
    <row r="1093" spans="1:10" s="203" customFormat="1" x14ac:dyDescent="0.2">
      <c r="A1093" s="221" t="s">
        <v>1945</v>
      </c>
      <c r="B1093" s="216" t="s">
        <v>0</v>
      </c>
      <c r="C1093" s="203" t="s">
        <v>1201</v>
      </c>
      <c r="D1093" s="270" t="s">
        <v>1351</v>
      </c>
      <c r="E1093" s="68"/>
      <c r="F1093" s="217" t="s">
        <v>1352</v>
      </c>
      <c r="G1093" s="241">
        <v>19.86</v>
      </c>
      <c r="J1093" s="273" t="s">
        <v>246</v>
      </c>
    </row>
    <row r="1094" spans="1:10" s="203" customFormat="1" x14ac:dyDescent="0.2">
      <c r="A1094" s="221" t="s">
        <v>1945</v>
      </c>
      <c r="B1094" s="216" t="s">
        <v>0</v>
      </c>
      <c r="C1094" s="203" t="s">
        <v>1201</v>
      </c>
      <c r="D1094" s="270" t="s">
        <v>1353</v>
      </c>
      <c r="E1094" s="68"/>
      <c r="F1094" s="217" t="s">
        <v>1354</v>
      </c>
      <c r="G1094" s="241">
        <v>26.05</v>
      </c>
      <c r="J1094" s="273" t="s">
        <v>246</v>
      </c>
    </row>
    <row r="1095" spans="1:10" s="203" customFormat="1" x14ac:dyDescent="0.2">
      <c r="A1095" s="221" t="s">
        <v>1945</v>
      </c>
      <c r="B1095" s="216" t="s">
        <v>0</v>
      </c>
      <c r="C1095" s="203" t="s">
        <v>1201</v>
      </c>
      <c r="D1095" s="270" t="s">
        <v>1355</v>
      </c>
      <c r="E1095" s="68"/>
      <c r="F1095" s="217" t="s">
        <v>1356</v>
      </c>
      <c r="G1095" s="241">
        <v>26.11</v>
      </c>
      <c r="J1095" s="273" t="s">
        <v>246</v>
      </c>
    </row>
    <row r="1096" spans="1:10" s="203" customFormat="1" x14ac:dyDescent="0.2">
      <c r="A1096" s="221" t="s">
        <v>1945</v>
      </c>
      <c r="B1096" s="216" t="s">
        <v>0</v>
      </c>
      <c r="C1096" s="203" t="s">
        <v>1201</v>
      </c>
      <c r="D1096" s="270" t="s">
        <v>1357</v>
      </c>
      <c r="E1096" s="68"/>
      <c r="F1096" s="217" t="s">
        <v>1358</v>
      </c>
      <c r="G1096" s="241">
        <v>29.9</v>
      </c>
      <c r="J1096" s="273" t="s">
        <v>246</v>
      </c>
    </row>
    <row r="1097" spans="1:10" s="203" customFormat="1" x14ac:dyDescent="0.2">
      <c r="A1097" s="221" t="s">
        <v>1945</v>
      </c>
      <c r="B1097" s="216" t="s">
        <v>0</v>
      </c>
      <c r="C1097" s="203" t="s">
        <v>1201</v>
      </c>
      <c r="D1097" s="270" t="s">
        <v>1359</v>
      </c>
      <c r="E1097" s="68"/>
      <c r="F1097" s="217" t="s">
        <v>1360</v>
      </c>
      <c r="G1097" s="241">
        <v>31.11</v>
      </c>
      <c r="J1097" s="273" t="s">
        <v>246</v>
      </c>
    </row>
    <row r="1098" spans="1:10" s="203" customFormat="1" x14ac:dyDescent="0.2">
      <c r="A1098" s="221" t="s">
        <v>1945</v>
      </c>
      <c r="B1098" s="216" t="s">
        <v>0</v>
      </c>
      <c r="C1098" s="203" t="s">
        <v>1201</v>
      </c>
      <c r="D1098" s="270" t="s">
        <v>1361</v>
      </c>
      <c r="E1098" s="68"/>
      <c r="F1098" s="217" t="s">
        <v>1362</v>
      </c>
      <c r="G1098" s="241">
        <v>49.95</v>
      </c>
      <c r="J1098" s="273" t="s">
        <v>246</v>
      </c>
    </row>
    <row r="1099" spans="1:10" s="203" customFormat="1" x14ac:dyDescent="0.2">
      <c r="A1099" s="221" t="s">
        <v>1945</v>
      </c>
      <c r="B1099" s="216" t="s">
        <v>0</v>
      </c>
      <c r="C1099" s="203" t="s">
        <v>1201</v>
      </c>
      <c r="D1099" s="270" t="s">
        <v>1363</v>
      </c>
      <c r="E1099" s="68"/>
      <c r="F1099" s="217" t="s">
        <v>1364</v>
      </c>
      <c r="G1099" s="241">
        <v>58.96</v>
      </c>
      <c r="J1099" s="273" t="s">
        <v>246</v>
      </c>
    </row>
    <row r="1100" spans="1:10" s="203" customFormat="1" x14ac:dyDescent="0.2">
      <c r="A1100" s="221" t="s">
        <v>1945</v>
      </c>
      <c r="B1100" s="216" t="s">
        <v>0</v>
      </c>
      <c r="C1100" s="203" t="s">
        <v>1201</v>
      </c>
      <c r="D1100" s="270" t="s">
        <v>1261</v>
      </c>
      <c r="E1100" s="68"/>
      <c r="F1100" s="217" t="s">
        <v>1365</v>
      </c>
      <c r="G1100" s="241">
        <v>37.74</v>
      </c>
      <c r="J1100" s="273" t="s">
        <v>246</v>
      </c>
    </row>
    <row r="1101" spans="1:10" s="203" customFormat="1" x14ac:dyDescent="0.2">
      <c r="A1101" s="221" t="s">
        <v>1945</v>
      </c>
      <c r="B1101" s="216" t="s">
        <v>0</v>
      </c>
      <c r="C1101" s="203" t="s">
        <v>1201</v>
      </c>
      <c r="D1101" s="270" t="s">
        <v>1366</v>
      </c>
      <c r="E1101" s="68"/>
      <c r="F1101" s="217" t="s">
        <v>1367</v>
      </c>
      <c r="G1101" s="241">
        <v>42.95</v>
      </c>
      <c r="J1101" s="273" t="s">
        <v>246</v>
      </c>
    </row>
    <row r="1102" spans="1:10" s="203" customFormat="1" x14ac:dyDescent="0.2">
      <c r="A1102" s="221" t="s">
        <v>1945</v>
      </c>
      <c r="B1102" s="216" t="s">
        <v>0</v>
      </c>
      <c r="C1102" s="203" t="s">
        <v>1201</v>
      </c>
      <c r="D1102" s="270" t="s">
        <v>1368</v>
      </c>
      <c r="E1102" s="68"/>
      <c r="F1102" s="217" t="s">
        <v>1369</v>
      </c>
      <c r="G1102" s="241">
        <v>44.79</v>
      </c>
      <c r="J1102" s="273" t="s">
        <v>246</v>
      </c>
    </row>
    <row r="1103" spans="1:10" s="203" customFormat="1" x14ac:dyDescent="0.2">
      <c r="A1103" s="221" t="s">
        <v>1945</v>
      </c>
      <c r="B1103" s="216" t="s">
        <v>0</v>
      </c>
      <c r="C1103" s="203" t="s">
        <v>1201</v>
      </c>
      <c r="D1103" s="270" t="s">
        <v>1370</v>
      </c>
      <c r="E1103" s="68"/>
      <c r="F1103" s="217" t="s">
        <v>1371</v>
      </c>
      <c r="G1103" s="241">
        <v>44.85</v>
      </c>
      <c r="J1103" s="273" t="s">
        <v>246</v>
      </c>
    </row>
    <row r="1104" spans="1:10" s="203" customFormat="1" x14ac:dyDescent="0.2">
      <c r="A1104" s="221" t="s">
        <v>1945</v>
      </c>
      <c r="B1104" s="216" t="s">
        <v>0</v>
      </c>
      <c r="C1104" s="203" t="s">
        <v>1201</v>
      </c>
      <c r="D1104" s="270" t="s">
        <v>1263</v>
      </c>
      <c r="E1104" s="68"/>
      <c r="F1104" s="217" t="s">
        <v>1372</v>
      </c>
      <c r="G1104" s="241">
        <v>46.59</v>
      </c>
      <c r="J1104" s="273" t="s">
        <v>246</v>
      </c>
    </row>
    <row r="1105" spans="1:10" s="203" customFormat="1" x14ac:dyDescent="0.2">
      <c r="A1105" s="221" t="s">
        <v>1945</v>
      </c>
      <c r="B1105" s="216" t="s">
        <v>0</v>
      </c>
      <c r="C1105" s="203" t="s">
        <v>1201</v>
      </c>
      <c r="D1105" s="270" t="s">
        <v>1373</v>
      </c>
      <c r="E1105" s="68"/>
      <c r="F1105" s="217" t="s">
        <v>1374</v>
      </c>
      <c r="G1105" s="241">
        <v>49.3</v>
      </c>
      <c r="J1105" s="273" t="s">
        <v>246</v>
      </c>
    </row>
    <row r="1106" spans="1:10" s="203" customFormat="1" x14ac:dyDescent="0.2">
      <c r="A1106" s="221" t="s">
        <v>1945</v>
      </c>
      <c r="B1106" s="216" t="s">
        <v>0</v>
      </c>
      <c r="C1106" s="203" t="s">
        <v>1201</v>
      </c>
      <c r="D1106" s="270" t="s">
        <v>1375</v>
      </c>
      <c r="E1106" s="68"/>
      <c r="F1106" s="217" t="s">
        <v>1376</v>
      </c>
      <c r="G1106" s="241">
        <v>52.81</v>
      </c>
      <c r="J1106" s="273" t="s">
        <v>246</v>
      </c>
    </row>
    <row r="1107" spans="1:10" s="203" customFormat="1" x14ac:dyDescent="0.2">
      <c r="A1107" s="221" t="s">
        <v>1945</v>
      </c>
      <c r="B1107" s="216" t="s">
        <v>0</v>
      </c>
      <c r="C1107" s="203" t="s">
        <v>1201</v>
      </c>
      <c r="D1107" s="270" t="s">
        <v>1377</v>
      </c>
      <c r="E1107" s="68"/>
      <c r="F1107" s="217" t="s">
        <v>1378</v>
      </c>
      <c r="G1107" s="241">
        <v>57.95</v>
      </c>
      <c r="J1107" s="273" t="s">
        <v>246</v>
      </c>
    </row>
    <row r="1108" spans="1:10" s="203" customFormat="1" x14ac:dyDescent="0.2">
      <c r="A1108" s="221" t="s">
        <v>1945</v>
      </c>
      <c r="B1108" s="216" t="s">
        <v>0</v>
      </c>
      <c r="C1108" s="203" t="s">
        <v>1201</v>
      </c>
      <c r="D1108" s="270" t="s">
        <v>1379</v>
      </c>
      <c r="E1108" s="68"/>
      <c r="F1108" s="217" t="s">
        <v>1380</v>
      </c>
      <c r="G1108" s="241">
        <v>63.55</v>
      </c>
      <c r="J1108" s="273" t="s">
        <v>246</v>
      </c>
    </row>
    <row r="1109" spans="1:10" s="203" customFormat="1" x14ac:dyDescent="0.2">
      <c r="A1109" s="221" t="s">
        <v>1945</v>
      </c>
      <c r="B1109" s="216" t="s">
        <v>0</v>
      </c>
      <c r="C1109" s="203" t="s">
        <v>1201</v>
      </c>
      <c r="D1109" s="270" t="s">
        <v>1381</v>
      </c>
      <c r="E1109" s="68"/>
      <c r="F1109" s="217" t="s">
        <v>1382</v>
      </c>
      <c r="G1109" s="241">
        <v>63.7</v>
      </c>
      <c r="J1109" s="273" t="s">
        <v>246</v>
      </c>
    </row>
    <row r="1110" spans="1:10" s="203" customFormat="1" x14ac:dyDescent="0.2">
      <c r="A1110" s="221" t="s">
        <v>1945</v>
      </c>
      <c r="B1110" s="216" t="s">
        <v>0</v>
      </c>
      <c r="C1110" s="203" t="s">
        <v>1201</v>
      </c>
      <c r="D1110" s="270" t="s">
        <v>1383</v>
      </c>
      <c r="E1110" s="68"/>
      <c r="F1110" s="217" t="s">
        <v>1384</v>
      </c>
      <c r="G1110" s="241">
        <v>63.79</v>
      </c>
      <c r="J1110" s="273" t="s">
        <v>246</v>
      </c>
    </row>
    <row r="1111" spans="1:10" s="203" customFormat="1" x14ac:dyDescent="0.2">
      <c r="A1111" s="221" t="s">
        <v>1945</v>
      </c>
      <c r="B1111" s="216" t="s">
        <v>0</v>
      </c>
      <c r="C1111" s="203" t="s">
        <v>1201</v>
      </c>
      <c r="D1111" s="270" t="s">
        <v>1385</v>
      </c>
      <c r="E1111" s="68"/>
      <c r="F1111" s="217" t="s">
        <v>1386</v>
      </c>
      <c r="G1111" s="241">
        <v>65.17</v>
      </c>
      <c r="J1111" s="273" t="s">
        <v>246</v>
      </c>
    </row>
    <row r="1112" spans="1:10" s="203" customFormat="1" x14ac:dyDescent="0.2">
      <c r="A1112" s="221" t="s">
        <v>1945</v>
      </c>
      <c r="B1112" s="216" t="s">
        <v>0</v>
      </c>
      <c r="C1112" s="203" t="s">
        <v>1201</v>
      </c>
      <c r="D1112" s="270" t="s">
        <v>1387</v>
      </c>
      <c r="E1112" s="68"/>
      <c r="F1112" s="217" t="s">
        <v>1388</v>
      </c>
      <c r="G1112" s="241">
        <v>66.95</v>
      </c>
      <c r="J1112" s="273" t="s">
        <v>246</v>
      </c>
    </row>
    <row r="1113" spans="1:10" s="203" customFormat="1" x14ac:dyDescent="0.2">
      <c r="A1113" s="221" t="s">
        <v>1945</v>
      </c>
      <c r="B1113" s="216" t="s">
        <v>0</v>
      </c>
      <c r="C1113" s="203" t="s">
        <v>1201</v>
      </c>
      <c r="D1113" s="270" t="s">
        <v>1214</v>
      </c>
      <c r="E1113" s="68"/>
      <c r="F1113" s="217" t="s">
        <v>1389</v>
      </c>
      <c r="G1113" s="241">
        <v>70.59</v>
      </c>
      <c r="J1113" s="273" t="s">
        <v>246</v>
      </c>
    </row>
    <row r="1114" spans="1:10" s="203" customFormat="1" x14ac:dyDescent="0.2">
      <c r="A1114" s="221" t="s">
        <v>1945</v>
      </c>
      <c r="B1114" s="216" t="s">
        <v>0</v>
      </c>
      <c r="C1114" s="203" t="s">
        <v>1201</v>
      </c>
      <c r="D1114" s="270" t="s">
        <v>1390</v>
      </c>
      <c r="E1114" s="68"/>
      <c r="F1114" s="217" t="s">
        <v>1391</v>
      </c>
      <c r="G1114" s="241">
        <v>76.239999999999995</v>
      </c>
      <c r="J1114" s="273" t="s">
        <v>246</v>
      </c>
    </row>
    <row r="1115" spans="1:10" s="203" customFormat="1" x14ac:dyDescent="0.2">
      <c r="A1115" s="221" t="s">
        <v>1945</v>
      </c>
      <c r="B1115" s="216" t="s">
        <v>0</v>
      </c>
      <c r="C1115" s="203" t="s">
        <v>1201</v>
      </c>
      <c r="D1115" s="270" t="s">
        <v>1392</v>
      </c>
      <c r="E1115" s="68"/>
      <c r="F1115" s="217" t="s">
        <v>1393</v>
      </c>
      <c r="G1115" s="241">
        <v>58.52</v>
      </c>
      <c r="J1115" s="273" t="s">
        <v>246</v>
      </c>
    </row>
    <row r="1116" spans="1:10" s="203" customFormat="1" x14ac:dyDescent="0.2">
      <c r="A1116" s="221" t="s">
        <v>1945</v>
      </c>
      <c r="B1116" s="216" t="s">
        <v>0</v>
      </c>
      <c r="C1116" s="203" t="s">
        <v>1201</v>
      </c>
      <c r="D1116" s="270" t="s">
        <v>1394</v>
      </c>
      <c r="E1116" s="68"/>
      <c r="F1116" s="217" t="s">
        <v>1395</v>
      </c>
      <c r="G1116" s="241">
        <v>85.55</v>
      </c>
      <c r="J1116" s="273" t="s">
        <v>246</v>
      </c>
    </row>
    <row r="1117" spans="1:10" s="203" customFormat="1" x14ac:dyDescent="0.2">
      <c r="A1117" s="221" t="s">
        <v>1945</v>
      </c>
      <c r="B1117" s="216" t="s">
        <v>0</v>
      </c>
      <c r="C1117" s="203" t="s">
        <v>1201</v>
      </c>
      <c r="D1117" s="270" t="s">
        <v>1396</v>
      </c>
      <c r="E1117" s="68"/>
      <c r="F1117" s="217" t="s">
        <v>1397</v>
      </c>
      <c r="G1117" s="241">
        <v>87.35</v>
      </c>
      <c r="J1117" s="273" t="s">
        <v>246</v>
      </c>
    </row>
    <row r="1118" spans="1:10" s="203" customFormat="1" x14ac:dyDescent="0.2">
      <c r="A1118" s="221" t="s">
        <v>1945</v>
      </c>
      <c r="B1118" s="216" t="s">
        <v>0</v>
      </c>
      <c r="C1118" s="203" t="s">
        <v>1201</v>
      </c>
      <c r="D1118" s="270" t="s">
        <v>1398</v>
      </c>
      <c r="E1118" s="68"/>
      <c r="F1118" s="217" t="s">
        <v>1399</v>
      </c>
      <c r="G1118" s="241">
        <v>90.82</v>
      </c>
      <c r="J1118" s="273" t="s">
        <v>246</v>
      </c>
    </row>
    <row r="1119" spans="1:10" s="203" customFormat="1" x14ac:dyDescent="0.2">
      <c r="A1119" s="221" t="s">
        <v>1945</v>
      </c>
      <c r="B1119" s="216" t="s">
        <v>0</v>
      </c>
      <c r="C1119" s="203" t="s">
        <v>1201</v>
      </c>
      <c r="D1119" s="270" t="s">
        <v>1400</v>
      </c>
      <c r="E1119" s="68"/>
      <c r="F1119" s="217" t="s">
        <v>1401</v>
      </c>
      <c r="G1119" s="241">
        <v>91.95</v>
      </c>
      <c r="J1119" s="273" t="s">
        <v>246</v>
      </c>
    </row>
    <row r="1120" spans="1:10" s="203" customFormat="1" x14ac:dyDescent="0.2">
      <c r="A1120" s="221" t="s">
        <v>1945</v>
      </c>
      <c r="B1120" s="216" t="s">
        <v>0</v>
      </c>
      <c r="C1120" s="203" t="s">
        <v>1201</v>
      </c>
      <c r="D1120" s="270" t="s">
        <v>7</v>
      </c>
      <c r="E1120" s="68"/>
      <c r="F1120" s="217" t="s">
        <v>1402</v>
      </c>
      <c r="G1120" s="241">
        <v>93.95</v>
      </c>
      <c r="J1120" s="273" t="s">
        <v>246</v>
      </c>
    </row>
    <row r="1121" spans="1:10" s="203" customFormat="1" x14ac:dyDescent="0.2">
      <c r="A1121" s="221" t="s">
        <v>1945</v>
      </c>
      <c r="B1121" s="216" t="s">
        <v>0</v>
      </c>
      <c r="C1121" s="203" t="s">
        <v>1201</v>
      </c>
      <c r="D1121" s="270" t="s">
        <v>1403</v>
      </c>
      <c r="E1121" s="68"/>
      <c r="F1121" s="217" t="s">
        <v>1404</v>
      </c>
      <c r="G1121" s="241">
        <v>94.9</v>
      </c>
      <c r="J1121" s="273" t="s">
        <v>246</v>
      </c>
    </row>
    <row r="1122" spans="1:10" s="203" customFormat="1" x14ac:dyDescent="0.2">
      <c r="A1122" s="221" t="s">
        <v>1945</v>
      </c>
      <c r="B1122" s="216" t="s">
        <v>0</v>
      </c>
      <c r="C1122" s="203" t="s">
        <v>1201</v>
      </c>
      <c r="D1122" s="270" t="s">
        <v>1405</v>
      </c>
      <c r="E1122" s="68"/>
      <c r="F1122" s="217" t="s">
        <v>1406</v>
      </c>
      <c r="G1122" s="241">
        <v>66.81</v>
      </c>
      <c r="J1122" s="273" t="s">
        <v>246</v>
      </c>
    </row>
    <row r="1123" spans="1:10" s="203" customFormat="1" x14ac:dyDescent="0.2">
      <c r="A1123" s="221" t="s">
        <v>1945</v>
      </c>
      <c r="B1123" s="216" t="s">
        <v>0</v>
      </c>
      <c r="C1123" s="203" t="s">
        <v>1201</v>
      </c>
      <c r="D1123" s="270" t="s">
        <v>1405</v>
      </c>
      <c r="E1123" s="68"/>
      <c r="F1123" s="217" t="s">
        <v>1407</v>
      </c>
      <c r="G1123" s="241">
        <v>28.9</v>
      </c>
      <c r="J1123" s="273" t="s">
        <v>246</v>
      </c>
    </row>
    <row r="1124" spans="1:10" s="203" customFormat="1" x14ac:dyDescent="0.2">
      <c r="A1124" s="221" t="s">
        <v>1945</v>
      </c>
      <c r="B1124" s="216" t="s">
        <v>0</v>
      </c>
      <c r="C1124" s="203" t="s">
        <v>1201</v>
      </c>
      <c r="D1124" s="270" t="s">
        <v>1408</v>
      </c>
      <c r="E1124" s="68"/>
      <c r="F1124" s="217" t="s">
        <v>1409</v>
      </c>
      <c r="G1124" s="241">
        <v>99.89</v>
      </c>
      <c r="J1124" s="273" t="s">
        <v>246</v>
      </c>
    </row>
    <row r="1125" spans="1:10" s="203" customFormat="1" x14ac:dyDescent="0.2">
      <c r="A1125" s="221" t="s">
        <v>1945</v>
      </c>
      <c r="B1125" s="216" t="s">
        <v>0</v>
      </c>
      <c r="C1125" s="203" t="s">
        <v>1201</v>
      </c>
      <c r="D1125" s="270" t="s">
        <v>1410</v>
      </c>
      <c r="E1125" s="68"/>
      <c r="F1125" s="217" t="s">
        <v>1411</v>
      </c>
      <c r="G1125" s="241">
        <v>106.9</v>
      </c>
      <c r="J1125" s="273" t="s">
        <v>246</v>
      </c>
    </row>
    <row r="1126" spans="1:10" s="203" customFormat="1" x14ac:dyDescent="0.2">
      <c r="A1126" s="221" t="s">
        <v>1945</v>
      </c>
      <c r="B1126" s="216" t="s">
        <v>0</v>
      </c>
      <c r="C1126" s="203" t="s">
        <v>1201</v>
      </c>
      <c r="D1126" s="270" t="s">
        <v>1412</v>
      </c>
      <c r="E1126" s="68"/>
      <c r="F1126" s="217" t="s">
        <v>1413</v>
      </c>
      <c r="G1126" s="241">
        <v>108.07</v>
      </c>
      <c r="J1126" s="273" t="s">
        <v>246</v>
      </c>
    </row>
    <row r="1127" spans="1:10" s="203" customFormat="1" x14ac:dyDescent="0.2">
      <c r="A1127" s="221" t="s">
        <v>1945</v>
      </c>
      <c r="B1127" s="216" t="s">
        <v>0</v>
      </c>
      <c r="C1127" s="203" t="s">
        <v>1201</v>
      </c>
      <c r="D1127" s="270" t="s">
        <v>1414</v>
      </c>
      <c r="E1127" s="68"/>
      <c r="F1127" s="217" t="s">
        <v>1415</v>
      </c>
      <c r="G1127" s="241">
        <v>110.8</v>
      </c>
      <c r="J1127" s="273" t="s">
        <v>246</v>
      </c>
    </row>
    <row r="1128" spans="1:10" s="203" customFormat="1" x14ac:dyDescent="0.2">
      <c r="A1128" s="221" t="s">
        <v>1945</v>
      </c>
      <c r="B1128" s="216" t="s">
        <v>0</v>
      </c>
      <c r="C1128" s="203" t="s">
        <v>1201</v>
      </c>
      <c r="D1128" s="270" t="s">
        <v>244</v>
      </c>
      <c r="E1128" s="68"/>
      <c r="F1128" s="217" t="s">
        <v>1416</v>
      </c>
      <c r="G1128" s="241">
        <v>115.9</v>
      </c>
      <c r="J1128" s="273" t="s">
        <v>246</v>
      </c>
    </row>
    <row r="1129" spans="1:10" s="203" customFormat="1" x14ac:dyDescent="0.2">
      <c r="A1129" s="221" t="s">
        <v>1945</v>
      </c>
      <c r="B1129" s="216" t="s">
        <v>0</v>
      </c>
      <c r="C1129" s="203" t="s">
        <v>1201</v>
      </c>
      <c r="D1129" s="270" t="s">
        <v>1417</v>
      </c>
      <c r="E1129" s="68"/>
      <c r="F1129" s="217" t="s">
        <v>1418</v>
      </c>
      <c r="G1129" s="241">
        <v>119.95</v>
      </c>
      <c r="J1129" s="273" t="s">
        <v>246</v>
      </c>
    </row>
    <row r="1130" spans="1:10" s="203" customFormat="1" x14ac:dyDescent="0.2">
      <c r="A1130" s="221" t="s">
        <v>1945</v>
      </c>
      <c r="B1130" s="216" t="s">
        <v>0</v>
      </c>
      <c r="C1130" s="203" t="s">
        <v>1201</v>
      </c>
      <c r="D1130" s="270" t="s">
        <v>1419</v>
      </c>
      <c r="E1130" s="68"/>
      <c r="F1130" s="217" t="s">
        <v>1420</v>
      </c>
      <c r="G1130" s="241">
        <v>121.92</v>
      </c>
      <c r="J1130" s="273" t="s">
        <v>246</v>
      </c>
    </row>
    <row r="1131" spans="1:10" s="203" customFormat="1" x14ac:dyDescent="0.2">
      <c r="A1131" s="221" t="s">
        <v>1945</v>
      </c>
      <c r="B1131" s="216" t="s">
        <v>0</v>
      </c>
      <c r="C1131" s="203" t="s">
        <v>1201</v>
      </c>
      <c r="D1131" s="270" t="s">
        <v>1421</v>
      </c>
      <c r="E1131" s="68"/>
      <c r="F1131" s="217" t="s">
        <v>1422</v>
      </c>
      <c r="G1131" s="241">
        <v>41.95</v>
      </c>
      <c r="J1131" s="273" t="s">
        <v>246</v>
      </c>
    </row>
    <row r="1132" spans="1:10" s="203" customFormat="1" x14ac:dyDescent="0.2">
      <c r="A1132" s="221" t="s">
        <v>1945</v>
      </c>
      <c r="B1132" s="216" t="s">
        <v>0</v>
      </c>
      <c r="C1132" s="203" t="s">
        <v>1201</v>
      </c>
      <c r="D1132" s="270" t="s">
        <v>1421</v>
      </c>
      <c r="E1132" s="68"/>
      <c r="F1132" s="217" t="s">
        <v>1423</v>
      </c>
      <c r="G1132" s="241">
        <v>163.9</v>
      </c>
      <c r="J1132" s="273" t="s">
        <v>246</v>
      </c>
    </row>
    <row r="1133" spans="1:10" s="203" customFormat="1" x14ac:dyDescent="0.2">
      <c r="A1133" s="221" t="s">
        <v>1945</v>
      </c>
      <c r="B1133" s="216" t="s">
        <v>0</v>
      </c>
      <c r="C1133" s="203" t="s">
        <v>1201</v>
      </c>
      <c r="D1133" s="270" t="s">
        <v>1424</v>
      </c>
      <c r="E1133" s="68"/>
      <c r="F1133" s="217" t="s">
        <v>1425</v>
      </c>
      <c r="G1133" s="241">
        <v>127.45</v>
      </c>
      <c r="J1133" s="273" t="s">
        <v>246</v>
      </c>
    </row>
    <row r="1134" spans="1:10" s="203" customFormat="1" x14ac:dyDescent="0.2">
      <c r="A1134" s="221" t="s">
        <v>1945</v>
      </c>
      <c r="B1134" s="216" t="s">
        <v>0</v>
      </c>
      <c r="C1134" s="203" t="s">
        <v>1201</v>
      </c>
      <c r="D1134" s="270" t="s">
        <v>1426</v>
      </c>
      <c r="E1134" s="68"/>
      <c r="F1134" s="217" t="s">
        <v>1427</v>
      </c>
      <c r="G1134" s="241">
        <v>130.54</v>
      </c>
      <c r="J1134" s="273" t="s">
        <v>246</v>
      </c>
    </row>
    <row r="1135" spans="1:10" s="203" customFormat="1" x14ac:dyDescent="0.2">
      <c r="A1135" s="221" t="s">
        <v>1945</v>
      </c>
      <c r="B1135" s="216" t="s">
        <v>0</v>
      </c>
      <c r="C1135" s="203" t="s">
        <v>1201</v>
      </c>
      <c r="D1135" s="270" t="s">
        <v>1428</v>
      </c>
      <c r="E1135" s="68"/>
      <c r="F1135" s="217" t="s">
        <v>1429</v>
      </c>
      <c r="G1135" s="241">
        <v>67.95</v>
      </c>
      <c r="J1135" s="273" t="s">
        <v>246</v>
      </c>
    </row>
    <row r="1136" spans="1:10" s="203" customFormat="1" x14ac:dyDescent="0.2">
      <c r="A1136" s="221" t="s">
        <v>1945</v>
      </c>
      <c r="B1136" s="216" t="s">
        <v>0</v>
      </c>
      <c r="C1136" s="203" t="s">
        <v>1201</v>
      </c>
      <c r="D1136" s="270" t="s">
        <v>1428</v>
      </c>
      <c r="E1136" s="68"/>
      <c r="F1136" s="217" t="s">
        <v>1430</v>
      </c>
      <c r="G1136" s="241">
        <v>67.239999999999995</v>
      </c>
      <c r="J1136" s="273" t="s">
        <v>246</v>
      </c>
    </row>
    <row r="1137" spans="1:10" s="203" customFormat="1" x14ac:dyDescent="0.2">
      <c r="A1137" s="221" t="s">
        <v>1945</v>
      </c>
      <c r="B1137" s="216" t="s">
        <v>0</v>
      </c>
      <c r="C1137" s="203" t="s">
        <v>1201</v>
      </c>
      <c r="D1137" s="270" t="s">
        <v>1431</v>
      </c>
      <c r="E1137" s="68"/>
      <c r="F1137" s="217" t="s">
        <v>1432</v>
      </c>
      <c r="G1137" s="241">
        <v>136.35</v>
      </c>
      <c r="J1137" s="273" t="s">
        <v>246</v>
      </c>
    </row>
    <row r="1138" spans="1:10" s="203" customFormat="1" x14ac:dyDescent="0.2">
      <c r="A1138" s="221" t="s">
        <v>1945</v>
      </c>
      <c r="B1138" s="216" t="s">
        <v>0</v>
      </c>
      <c r="C1138" s="203" t="s">
        <v>1201</v>
      </c>
      <c r="D1138" s="270" t="s">
        <v>77</v>
      </c>
      <c r="E1138" s="68"/>
      <c r="F1138" s="217" t="s">
        <v>1433</v>
      </c>
      <c r="G1138" s="241">
        <v>174.75</v>
      </c>
      <c r="J1138" s="273" t="s">
        <v>246</v>
      </c>
    </row>
    <row r="1139" spans="1:10" s="203" customFormat="1" x14ac:dyDescent="0.2">
      <c r="A1139" s="221" t="s">
        <v>1945</v>
      </c>
      <c r="B1139" s="216" t="s">
        <v>0</v>
      </c>
      <c r="C1139" s="203" t="s">
        <v>1201</v>
      </c>
      <c r="D1139" s="270" t="s">
        <v>1434</v>
      </c>
      <c r="E1139" s="68"/>
      <c r="F1139" s="217" t="s">
        <v>1435</v>
      </c>
      <c r="G1139" s="241">
        <v>141.27000000000001</v>
      </c>
      <c r="J1139" s="273" t="s">
        <v>246</v>
      </c>
    </row>
    <row r="1140" spans="1:10" s="203" customFormat="1" x14ac:dyDescent="0.2">
      <c r="A1140" s="221" t="s">
        <v>1945</v>
      </c>
      <c r="B1140" s="216" t="s">
        <v>0</v>
      </c>
      <c r="C1140" s="203" t="s">
        <v>1201</v>
      </c>
      <c r="D1140" s="270" t="s">
        <v>1436</v>
      </c>
      <c r="E1140" s="68"/>
      <c r="F1140" s="217" t="s">
        <v>1437</v>
      </c>
      <c r="G1140" s="241">
        <v>144.06</v>
      </c>
      <c r="J1140" s="273" t="s">
        <v>246</v>
      </c>
    </row>
    <row r="1141" spans="1:10" s="203" customFormat="1" x14ac:dyDescent="0.2">
      <c r="A1141" s="221" t="s">
        <v>1945</v>
      </c>
      <c r="B1141" s="216" t="s">
        <v>0</v>
      </c>
      <c r="C1141" s="203" t="s">
        <v>1201</v>
      </c>
      <c r="D1141" s="270" t="s">
        <v>1438</v>
      </c>
      <c r="E1141" s="68"/>
      <c r="F1141" s="217" t="s">
        <v>1439</v>
      </c>
      <c r="G1141" s="241">
        <v>228.38</v>
      </c>
      <c r="J1141" s="273" t="s">
        <v>246</v>
      </c>
    </row>
    <row r="1142" spans="1:10" s="203" customFormat="1" x14ac:dyDescent="0.2">
      <c r="A1142" s="221" t="s">
        <v>1945</v>
      </c>
      <c r="B1142" s="216" t="s">
        <v>0</v>
      </c>
      <c r="C1142" s="203" t="s">
        <v>1201</v>
      </c>
      <c r="D1142" s="270" t="s">
        <v>1440</v>
      </c>
      <c r="E1142" s="68"/>
      <c r="F1142" s="217" t="s">
        <v>1441</v>
      </c>
      <c r="G1142" s="241">
        <v>180.21</v>
      </c>
      <c r="J1142" s="273" t="s">
        <v>246</v>
      </c>
    </row>
    <row r="1143" spans="1:10" s="203" customFormat="1" x14ac:dyDescent="0.2">
      <c r="A1143" s="221" t="s">
        <v>1945</v>
      </c>
      <c r="B1143" s="216" t="s">
        <v>0</v>
      </c>
      <c r="C1143" s="203" t="s">
        <v>1201</v>
      </c>
      <c r="D1143" s="270" t="s">
        <v>1442</v>
      </c>
      <c r="E1143" s="68"/>
      <c r="F1143" s="217" t="s">
        <v>1443</v>
      </c>
      <c r="G1143" s="241">
        <v>181.67</v>
      </c>
      <c r="J1143" s="273" t="s">
        <v>246</v>
      </c>
    </row>
    <row r="1144" spans="1:10" s="203" customFormat="1" x14ac:dyDescent="0.2">
      <c r="A1144" s="221" t="s">
        <v>1945</v>
      </c>
      <c r="B1144" s="216" t="s">
        <v>0</v>
      </c>
      <c r="C1144" s="203" t="s">
        <v>1201</v>
      </c>
      <c r="D1144" s="270" t="s">
        <v>1444</v>
      </c>
      <c r="E1144" s="68"/>
      <c r="F1144" s="217" t="s">
        <v>1445</v>
      </c>
      <c r="G1144" s="241">
        <v>189.69</v>
      </c>
      <c r="J1144" s="273" t="s">
        <v>246</v>
      </c>
    </row>
    <row r="1145" spans="1:10" s="203" customFormat="1" x14ac:dyDescent="0.2">
      <c r="A1145" s="221" t="s">
        <v>1945</v>
      </c>
      <c r="B1145" s="216" t="s">
        <v>0</v>
      </c>
      <c r="C1145" s="203" t="s">
        <v>1201</v>
      </c>
      <c r="D1145" s="270" t="s">
        <v>1446</v>
      </c>
      <c r="E1145" s="68"/>
      <c r="F1145" s="217" t="s">
        <v>1447</v>
      </c>
      <c r="G1145" s="241">
        <v>190.9</v>
      </c>
      <c r="J1145" s="273" t="s">
        <v>246</v>
      </c>
    </row>
    <row r="1146" spans="1:10" s="203" customFormat="1" x14ac:dyDescent="0.2">
      <c r="A1146" s="221" t="s">
        <v>1945</v>
      </c>
      <c r="B1146" s="216" t="s">
        <v>0</v>
      </c>
      <c r="C1146" s="203" t="s">
        <v>1201</v>
      </c>
      <c r="D1146" s="270" t="s">
        <v>1448</v>
      </c>
      <c r="E1146" s="68"/>
      <c r="F1146" s="217" t="s">
        <v>1449</v>
      </c>
      <c r="G1146" s="241">
        <v>195.04</v>
      </c>
      <c r="J1146" s="273" t="s">
        <v>246</v>
      </c>
    </row>
    <row r="1147" spans="1:10" s="203" customFormat="1" x14ac:dyDescent="0.2">
      <c r="A1147" s="221" t="s">
        <v>1945</v>
      </c>
      <c r="B1147" s="216" t="s">
        <v>0</v>
      </c>
      <c r="C1147" s="203" t="s">
        <v>1201</v>
      </c>
      <c r="D1147" s="270" t="s">
        <v>1450</v>
      </c>
      <c r="E1147" s="68"/>
      <c r="F1147" s="217" t="s">
        <v>1451</v>
      </c>
      <c r="G1147" s="241">
        <v>203.69</v>
      </c>
      <c r="J1147" s="273" t="s">
        <v>246</v>
      </c>
    </row>
    <row r="1148" spans="1:10" s="203" customFormat="1" x14ac:dyDescent="0.2">
      <c r="A1148" s="221" t="s">
        <v>1945</v>
      </c>
      <c r="B1148" s="216" t="s">
        <v>0</v>
      </c>
      <c r="C1148" s="203" t="s">
        <v>1201</v>
      </c>
      <c r="D1148" s="270" t="s">
        <v>1452</v>
      </c>
      <c r="E1148" s="68"/>
      <c r="F1148" s="217" t="s">
        <v>1453</v>
      </c>
      <c r="G1148" s="241">
        <v>212.96</v>
      </c>
      <c r="J1148" s="273" t="s">
        <v>246</v>
      </c>
    </row>
    <row r="1149" spans="1:10" s="203" customFormat="1" x14ac:dyDescent="0.2">
      <c r="A1149" s="221" t="s">
        <v>1945</v>
      </c>
      <c r="B1149" s="216" t="s">
        <v>0</v>
      </c>
      <c r="C1149" s="203" t="s">
        <v>1201</v>
      </c>
      <c r="D1149" s="270" t="s">
        <v>1454</v>
      </c>
      <c r="E1149" s="68"/>
      <c r="F1149" s="217" t="s">
        <v>1455</v>
      </c>
      <c r="G1149" s="241">
        <v>265.25</v>
      </c>
      <c r="J1149" s="273" t="s">
        <v>246</v>
      </c>
    </row>
    <row r="1150" spans="1:10" s="203" customFormat="1" x14ac:dyDescent="0.2">
      <c r="A1150" s="221" t="s">
        <v>1945</v>
      </c>
      <c r="B1150" s="216" t="s">
        <v>0</v>
      </c>
      <c r="C1150" s="203" t="s">
        <v>1201</v>
      </c>
      <c r="D1150" s="270" t="s">
        <v>1456</v>
      </c>
      <c r="E1150" s="68"/>
      <c r="F1150" s="217" t="s">
        <v>1457</v>
      </c>
      <c r="G1150" s="241">
        <v>239.05</v>
      </c>
      <c r="J1150" s="273" t="s">
        <v>246</v>
      </c>
    </row>
    <row r="1151" spans="1:10" s="203" customFormat="1" x14ac:dyDescent="0.2">
      <c r="A1151" s="221" t="s">
        <v>1945</v>
      </c>
      <c r="B1151" s="216" t="s">
        <v>0</v>
      </c>
      <c r="C1151" s="203" t="s">
        <v>1201</v>
      </c>
      <c r="D1151" s="270" t="s">
        <v>1456</v>
      </c>
      <c r="E1151" s="68"/>
      <c r="F1151" s="217" t="s">
        <v>1458</v>
      </c>
      <c r="G1151" s="241">
        <v>60.79</v>
      </c>
      <c r="J1151" s="273" t="s">
        <v>246</v>
      </c>
    </row>
    <row r="1152" spans="1:10" s="203" customFormat="1" x14ac:dyDescent="0.2">
      <c r="A1152" s="221" t="s">
        <v>1945</v>
      </c>
      <c r="B1152" s="216" t="s">
        <v>0</v>
      </c>
      <c r="C1152" s="203" t="s">
        <v>1201</v>
      </c>
      <c r="D1152" s="270" t="s">
        <v>1459</v>
      </c>
      <c r="E1152" s="68"/>
      <c r="F1152" s="217" t="s">
        <v>1460</v>
      </c>
      <c r="G1152" s="241">
        <v>78.849999999999994</v>
      </c>
      <c r="J1152" s="273" t="s">
        <v>246</v>
      </c>
    </row>
    <row r="1153" spans="1:10" s="203" customFormat="1" x14ac:dyDescent="0.2">
      <c r="A1153" s="221" t="s">
        <v>1945</v>
      </c>
      <c r="B1153" s="216" t="s">
        <v>0</v>
      </c>
      <c r="C1153" s="203" t="s">
        <v>1201</v>
      </c>
      <c r="D1153" s="270" t="s">
        <v>1459</v>
      </c>
      <c r="E1153" s="68"/>
      <c r="F1153" s="217" t="s">
        <v>1461</v>
      </c>
      <c r="G1153" s="241">
        <v>228.9</v>
      </c>
      <c r="J1153" s="273" t="s">
        <v>246</v>
      </c>
    </row>
    <row r="1154" spans="1:10" s="203" customFormat="1" x14ac:dyDescent="0.2">
      <c r="A1154" s="221" t="s">
        <v>1945</v>
      </c>
      <c r="B1154" s="216" t="s">
        <v>0</v>
      </c>
      <c r="C1154" s="203" t="s">
        <v>1201</v>
      </c>
      <c r="D1154" s="270" t="s">
        <v>1462</v>
      </c>
      <c r="E1154" s="68"/>
      <c r="F1154" s="217" t="s">
        <v>1463</v>
      </c>
      <c r="G1154" s="241">
        <v>334.71</v>
      </c>
      <c r="J1154" s="273" t="s">
        <v>246</v>
      </c>
    </row>
    <row r="1155" spans="1:10" s="203" customFormat="1" x14ac:dyDescent="0.2">
      <c r="A1155" s="221" t="s">
        <v>1945</v>
      </c>
      <c r="B1155" s="216" t="s">
        <v>0</v>
      </c>
      <c r="C1155" s="203" t="s">
        <v>1201</v>
      </c>
      <c r="D1155" s="270" t="s">
        <v>1464</v>
      </c>
      <c r="E1155" s="68"/>
      <c r="F1155" s="217" t="s">
        <v>1465</v>
      </c>
      <c r="G1155" s="241">
        <v>374.61</v>
      </c>
      <c r="J1155" s="273" t="s">
        <v>246</v>
      </c>
    </row>
    <row r="1156" spans="1:10" s="203" customFormat="1" x14ac:dyDescent="0.2">
      <c r="A1156" s="221" t="s">
        <v>1945</v>
      </c>
      <c r="B1156" s="216" t="s">
        <v>0</v>
      </c>
      <c r="C1156" s="203" t="s">
        <v>1201</v>
      </c>
      <c r="D1156" s="270" t="s">
        <v>1466</v>
      </c>
      <c r="E1156" s="68"/>
      <c r="F1156" s="217" t="s">
        <v>1467</v>
      </c>
      <c r="G1156" s="241">
        <v>122.9</v>
      </c>
      <c r="J1156" s="273" t="s">
        <v>246</v>
      </c>
    </row>
    <row r="1157" spans="1:10" s="203" customFormat="1" x14ac:dyDescent="0.2">
      <c r="A1157" s="221" t="s">
        <v>1945</v>
      </c>
      <c r="B1157" s="216" t="s">
        <v>0</v>
      </c>
      <c r="C1157" s="203" t="s">
        <v>1201</v>
      </c>
      <c r="D1157" s="270" t="s">
        <v>1468</v>
      </c>
      <c r="E1157" s="68"/>
      <c r="F1157" s="217" t="s">
        <v>1469</v>
      </c>
      <c r="G1157" s="241">
        <v>378.9</v>
      </c>
      <c r="J1157" s="273" t="s">
        <v>246</v>
      </c>
    </row>
    <row r="1158" spans="1:10" s="203" customFormat="1" x14ac:dyDescent="0.2">
      <c r="A1158" s="221" t="s">
        <v>1945</v>
      </c>
      <c r="B1158" s="216" t="s">
        <v>0</v>
      </c>
      <c r="C1158" s="203" t="s">
        <v>1201</v>
      </c>
      <c r="D1158" s="270" t="s">
        <v>1470</v>
      </c>
      <c r="E1158" s="68"/>
      <c r="F1158" s="217" t="s">
        <v>1471</v>
      </c>
      <c r="G1158" s="241">
        <v>320.89999999999998</v>
      </c>
      <c r="J1158" s="273" t="s">
        <v>246</v>
      </c>
    </row>
    <row r="1159" spans="1:10" s="203" customFormat="1" x14ac:dyDescent="0.2">
      <c r="A1159" s="221" t="s">
        <v>1945</v>
      </c>
      <c r="B1159" s="216" t="s">
        <v>0</v>
      </c>
      <c r="C1159" s="203" t="s">
        <v>1201</v>
      </c>
      <c r="D1159" s="270" t="s">
        <v>1472</v>
      </c>
      <c r="E1159" s="68"/>
      <c r="F1159" s="217" t="s">
        <v>1473</v>
      </c>
      <c r="G1159" s="241">
        <v>487.67</v>
      </c>
      <c r="J1159" s="273" t="s">
        <v>246</v>
      </c>
    </row>
    <row r="1160" spans="1:10" s="203" customFormat="1" x14ac:dyDescent="0.2">
      <c r="A1160" s="221" t="s">
        <v>1945</v>
      </c>
      <c r="B1160" s="216" t="s">
        <v>0</v>
      </c>
      <c r="C1160" s="203" t="s">
        <v>1201</v>
      </c>
      <c r="D1160" s="270" t="s">
        <v>1474</v>
      </c>
      <c r="E1160" s="68"/>
      <c r="F1160" s="217" t="s">
        <v>1475</v>
      </c>
      <c r="G1160" s="241">
        <v>128.9</v>
      </c>
      <c r="J1160" s="273" t="s">
        <v>246</v>
      </c>
    </row>
    <row r="1161" spans="1:10" s="203" customFormat="1" x14ac:dyDescent="0.2">
      <c r="A1161" s="221" t="s">
        <v>1945</v>
      </c>
      <c r="B1161" s="216" t="s">
        <v>0</v>
      </c>
      <c r="C1161" s="203" t="s">
        <v>1201</v>
      </c>
      <c r="D1161" s="274" t="s">
        <v>293</v>
      </c>
      <c r="E1161" s="68"/>
      <c r="F1161" s="217" t="s">
        <v>1476</v>
      </c>
      <c r="G1161" s="241">
        <v>457.28</v>
      </c>
      <c r="J1161" s="273" t="s">
        <v>246</v>
      </c>
    </row>
    <row r="1162" spans="1:10" s="203" customFormat="1" x14ac:dyDescent="0.2">
      <c r="A1162" s="221" t="s">
        <v>1945</v>
      </c>
      <c r="B1162" s="216" t="s">
        <v>0</v>
      </c>
      <c r="C1162" s="203" t="s">
        <v>1201</v>
      </c>
      <c r="D1162" s="270" t="s">
        <v>1477</v>
      </c>
      <c r="E1162" s="68"/>
      <c r="F1162" s="68">
        <v>2100715</v>
      </c>
      <c r="G1162" s="241">
        <v>79.92</v>
      </c>
      <c r="J1162" s="273" t="s">
        <v>246</v>
      </c>
    </row>
    <row r="1163" spans="1:10" s="203" customFormat="1" x14ac:dyDescent="0.2">
      <c r="A1163" s="221" t="s">
        <v>1945</v>
      </c>
      <c r="B1163" s="216" t="s">
        <v>0</v>
      </c>
      <c r="C1163" s="203" t="s">
        <v>1201</v>
      </c>
      <c r="D1163" s="270" t="s">
        <v>1479</v>
      </c>
      <c r="E1163" s="68"/>
      <c r="F1163" s="68">
        <v>2099261</v>
      </c>
      <c r="G1163" s="241">
        <v>48.95</v>
      </c>
      <c r="J1163" s="273" t="s">
        <v>246</v>
      </c>
    </row>
    <row r="1164" spans="1:10" s="203" customFormat="1" x14ac:dyDescent="0.2">
      <c r="A1164" s="221" t="s">
        <v>1945</v>
      </c>
      <c r="B1164" s="216" t="s">
        <v>0</v>
      </c>
      <c r="C1164" s="203" t="s">
        <v>1201</v>
      </c>
      <c r="D1164" s="270" t="s">
        <v>1480</v>
      </c>
      <c r="E1164" s="68"/>
      <c r="F1164" s="68">
        <v>2099733</v>
      </c>
      <c r="G1164" s="241">
        <v>81.95</v>
      </c>
      <c r="J1164" s="273" t="s">
        <v>246</v>
      </c>
    </row>
    <row r="1165" spans="1:10" s="261" customFormat="1" x14ac:dyDescent="0.2">
      <c r="A1165" s="221" t="s">
        <v>1945</v>
      </c>
      <c r="B1165" s="257" t="s">
        <v>0</v>
      </c>
      <c r="C1165" s="203" t="s">
        <v>1201</v>
      </c>
      <c r="D1165" s="270" t="s">
        <v>1481</v>
      </c>
      <c r="E1165" s="259"/>
      <c r="F1165" s="259"/>
      <c r="G1165" s="241">
        <v>92.17</v>
      </c>
      <c r="J1165" s="273" t="s">
        <v>246</v>
      </c>
    </row>
    <row r="1166" spans="1:10" s="203" customFormat="1" x14ac:dyDescent="0.2">
      <c r="A1166" s="221" t="s">
        <v>1945</v>
      </c>
      <c r="B1166" s="216" t="s">
        <v>0</v>
      </c>
      <c r="C1166" s="203" t="s">
        <v>1201</v>
      </c>
      <c r="D1166" s="270" t="s">
        <v>79</v>
      </c>
      <c r="E1166" s="68"/>
      <c r="F1166" s="68">
        <v>2099317</v>
      </c>
      <c r="G1166" s="241">
        <v>100.92</v>
      </c>
      <c r="J1166" s="273" t="s">
        <v>246</v>
      </c>
    </row>
    <row r="1167" spans="1:10" s="203" customFormat="1" x14ac:dyDescent="0.2">
      <c r="A1167" s="221" t="s">
        <v>1945</v>
      </c>
      <c r="B1167" s="216" t="s">
        <v>0</v>
      </c>
      <c r="C1167" s="203" t="s">
        <v>1201</v>
      </c>
      <c r="D1167" s="270" t="s">
        <v>1482</v>
      </c>
      <c r="E1167" s="68"/>
      <c r="F1167" s="68">
        <v>2101864</v>
      </c>
      <c r="G1167" s="241">
        <v>111.8</v>
      </c>
      <c r="J1167" s="273" t="s">
        <v>246</v>
      </c>
    </row>
    <row r="1168" spans="1:10" s="203" customFormat="1" x14ac:dyDescent="0.2">
      <c r="A1168" s="221" t="s">
        <v>1945</v>
      </c>
      <c r="B1168" s="216" t="s">
        <v>0</v>
      </c>
      <c r="C1168" s="203" t="s">
        <v>1201</v>
      </c>
      <c r="D1168" s="270" t="s">
        <v>317</v>
      </c>
      <c r="E1168" s="68"/>
      <c r="F1168" s="68">
        <v>2098554</v>
      </c>
      <c r="G1168" s="241">
        <v>208.06</v>
      </c>
      <c r="J1168" s="273" t="s">
        <v>246</v>
      </c>
    </row>
    <row r="1169" spans="1:10" s="203" customFormat="1" x14ac:dyDescent="0.2">
      <c r="A1169" s="221" t="s">
        <v>1945</v>
      </c>
      <c r="B1169" s="216" t="s">
        <v>0</v>
      </c>
      <c r="C1169" s="203" t="s">
        <v>1201</v>
      </c>
      <c r="D1169" s="270" t="s">
        <v>1483</v>
      </c>
      <c r="E1169" s="68"/>
      <c r="F1169" s="68">
        <v>2101487</v>
      </c>
      <c r="G1169" s="241">
        <v>198.54</v>
      </c>
      <c r="J1169" s="273" t="s">
        <v>246</v>
      </c>
    </row>
    <row r="1170" spans="1:10" x14ac:dyDescent="0.2">
      <c r="A1170" s="119" t="s">
        <v>1945</v>
      </c>
      <c r="B1170" s="115" t="s">
        <v>0</v>
      </c>
      <c r="D1170" s="177" t="s">
        <v>1484</v>
      </c>
      <c r="E1170" s="113" t="s">
        <v>1485</v>
      </c>
      <c r="F1170" s="113"/>
      <c r="G1170" s="225">
        <f>302.82-70</f>
        <v>232.82</v>
      </c>
      <c r="J1170" s="178" t="s">
        <v>1959</v>
      </c>
    </row>
    <row r="1171" spans="1:10" s="203" customFormat="1" x14ac:dyDescent="0.2">
      <c r="A1171" s="221" t="s">
        <v>1945</v>
      </c>
      <c r="B1171" s="216" t="s">
        <v>0</v>
      </c>
      <c r="C1171" s="203" t="s">
        <v>1201</v>
      </c>
      <c r="D1171" s="270" t="s">
        <v>1486</v>
      </c>
      <c r="E1171" s="68"/>
      <c r="F1171" s="68">
        <v>2099580</v>
      </c>
      <c r="G1171" s="241">
        <v>552.11</v>
      </c>
      <c r="J1171" s="273" t="s">
        <v>246</v>
      </c>
    </row>
    <row r="1172" spans="1:10" s="203" customFormat="1" x14ac:dyDescent="0.2">
      <c r="A1172" s="221" t="s">
        <v>1945</v>
      </c>
      <c r="B1172" s="216" t="s">
        <v>0</v>
      </c>
      <c r="C1172" s="203" t="s">
        <v>1201</v>
      </c>
      <c r="D1172" s="270" t="s">
        <v>1487</v>
      </c>
      <c r="E1172" s="68"/>
      <c r="F1172" s="68">
        <v>2100205</v>
      </c>
      <c r="G1172" s="241">
        <v>53.95</v>
      </c>
      <c r="J1172" s="273" t="s">
        <v>246</v>
      </c>
    </row>
    <row r="1173" spans="1:10" x14ac:dyDescent="0.2">
      <c r="A1173" s="119" t="s">
        <v>260</v>
      </c>
      <c r="B1173" s="115" t="s">
        <v>58</v>
      </c>
      <c r="D1173" s="175" t="s">
        <v>1488</v>
      </c>
      <c r="F1173" s="121" t="s">
        <v>1489</v>
      </c>
      <c r="G1173" s="225">
        <v>84.9</v>
      </c>
      <c r="J1173" s="178" t="s">
        <v>1490</v>
      </c>
    </row>
    <row r="1174" spans="1:10" x14ac:dyDescent="0.2">
      <c r="A1174" s="119" t="s">
        <v>260</v>
      </c>
      <c r="B1174" s="115" t="s">
        <v>58</v>
      </c>
      <c r="D1174" s="175" t="s">
        <v>59</v>
      </c>
      <c r="F1174" s="121" t="s">
        <v>60</v>
      </c>
      <c r="G1174" s="225">
        <v>118.95</v>
      </c>
      <c r="J1174" s="178" t="s">
        <v>61</v>
      </c>
    </row>
    <row r="1175" spans="1:10" x14ac:dyDescent="0.2">
      <c r="A1175" s="119" t="s">
        <v>260</v>
      </c>
      <c r="B1175" s="115" t="s">
        <v>58</v>
      </c>
      <c r="D1175" s="175" t="s">
        <v>62</v>
      </c>
      <c r="F1175" s="121" t="s">
        <v>63</v>
      </c>
      <c r="G1175" s="225">
        <v>79.319999999999993</v>
      </c>
      <c r="J1175" s="178" t="s">
        <v>61</v>
      </c>
    </row>
    <row r="1176" spans="1:10" x14ac:dyDescent="0.2">
      <c r="A1176" s="119" t="s">
        <v>260</v>
      </c>
      <c r="B1176" s="115" t="s">
        <v>58</v>
      </c>
      <c r="D1176" s="175" t="s">
        <v>64</v>
      </c>
      <c r="F1176" s="121" t="s">
        <v>65</v>
      </c>
      <c r="G1176" s="225">
        <v>25.57</v>
      </c>
      <c r="J1176" s="178" t="s">
        <v>61</v>
      </c>
    </row>
    <row r="1177" spans="1:10" x14ac:dyDescent="0.2">
      <c r="A1177" s="119" t="s">
        <v>260</v>
      </c>
      <c r="B1177" s="115" t="s">
        <v>58</v>
      </c>
      <c r="D1177" s="175" t="s">
        <v>1491</v>
      </c>
      <c r="F1177" s="121" t="s">
        <v>1492</v>
      </c>
      <c r="G1177" s="225">
        <v>34.840000000000003</v>
      </c>
      <c r="J1177" s="178" t="s">
        <v>1490</v>
      </c>
    </row>
    <row r="1178" spans="1:10" x14ac:dyDescent="0.2">
      <c r="A1178" s="119" t="s">
        <v>260</v>
      </c>
      <c r="B1178" s="115" t="s">
        <v>58</v>
      </c>
      <c r="D1178" s="175" t="s">
        <v>66</v>
      </c>
      <c r="F1178" s="121" t="s">
        <v>67</v>
      </c>
      <c r="G1178" s="225">
        <v>37.130000000000003</v>
      </c>
      <c r="J1178" s="178" t="s">
        <v>61</v>
      </c>
    </row>
    <row r="1179" spans="1:10" x14ac:dyDescent="0.2">
      <c r="A1179" s="119" t="s">
        <v>260</v>
      </c>
      <c r="B1179" s="115" t="s">
        <v>58</v>
      </c>
      <c r="D1179" s="175" t="s">
        <v>1493</v>
      </c>
      <c r="F1179" s="121" t="s">
        <v>1494</v>
      </c>
      <c r="G1179" s="225">
        <v>80.099999999999994</v>
      </c>
      <c r="J1179" s="178" t="s">
        <v>1490</v>
      </c>
    </row>
    <row r="1180" spans="1:10" x14ac:dyDescent="0.2">
      <c r="A1180" s="119" t="s">
        <v>260</v>
      </c>
      <c r="B1180" s="115" t="s">
        <v>58</v>
      </c>
      <c r="D1180" s="175" t="s">
        <v>1495</v>
      </c>
      <c r="F1180" s="121" t="s">
        <v>1496</v>
      </c>
      <c r="G1180" s="225">
        <v>46.6</v>
      </c>
      <c r="J1180" s="178" t="s">
        <v>1490</v>
      </c>
    </row>
    <row r="1181" spans="1:10" x14ac:dyDescent="0.2">
      <c r="A1181" s="119" t="s">
        <v>260</v>
      </c>
      <c r="B1181" s="115" t="s">
        <v>58</v>
      </c>
      <c r="D1181" s="175" t="s">
        <v>1497</v>
      </c>
      <c r="F1181" s="121" t="s">
        <v>1498</v>
      </c>
      <c r="G1181" s="225">
        <v>48.41</v>
      </c>
      <c r="J1181" s="178" t="s">
        <v>1490</v>
      </c>
    </row>
    <row r="1182" spans="1:10" x14ac:dyDescent="0.2">
      <c r="A1182" s="119" t="s">
        <v>260</v>
      </c>
      <c r="B1182" s="115" t="s">
        <v>58</v>
      </c>
      <c r="D1182" s="175" t="s">
        <v>240</v>
      </c>
      <c r="F1182" s="121" t="s">
        <v>1499</v>
      </c>
      <c r="G1182" s="225">
        <v>48.65</v>
      </c>
      <c r="J1182" s="178" t="s">
        <v>1490</v>
      </c>
    </row>
    <row r="1183" spans="1:10" x14ac:dyDescent="0.2">
      <c r="A1183" s="119" t="s">
        <v>260</v>
      </c>
      <c r="B1183" s="115" t="s">
        <v>58</v>
      </c>
      <c r="D1183" s="175" t="s">
        <v>1500</v>
      </c>
      <c r="F1183" s="121" t="s">
        <v>1501</v>
      </c>
      <c r="G1183" s="225">
        <v>57.76</v>
      </c>
      <c r="J1183" s="178" t="s">
        <v>1490</v>
      </c>
    </row>
    <row r="1184" spans="1:10" x14ac:dyDescent="0.2">
      <c r="A1184" s="119" t="s">
        <v>260</v>
      </c>
      <c r="B1184" s="115" t="s">
        <v>58</v>
      </c>
      <c r="D1184" s="175" t="s">
        <v>1502</v>
      </c>
      <c r="F1184" s="121" t="s">
        <v>1503</v>
      </c>
      <c r="G1184" s="225">
        <v>57.76</v>
      </c>
      <c r="J1184" s="178" t="s">
        <v>1490</v>
      </c>
    </row>
    <row r="1185" spans="1:10" x14ac:dyDescent="0.2">
      <c r="A1185" s="119" t="s">
        <v>260</v>
      </c>
      <c r="B1185" s="115" t="s">
        <v>58</v>
      </c>
      <c r="D1185" s="175" t="s">
        <v>1504</v>
      </c>
      <c r="F1185" s="121" t="s">
        <v>1505</v>
      </c>
      <c r="G1185" s="225">
        <v>59.48</v>
      </c>
      <c r="J1185" s="178" t="s">
        <v>1490</v>
      </c>
    </row>
    <row r="1186" spans="1:10" x14ac:dyDescent="0.2">
      <c r="A1186" s="119" t="s">
        <v>260</v>
      </c>
      <c r="B1186" s="115" t="s">
        <v>58</v>
      </c>
      <c r="D1186" s="175" t="s">
        <v>1357</v>
      </c>
      <c r="F1186" s="121" t="s">
        <v>1506</v>
      </c>
      <c r="G1186" s="225">
        <v>64.95</v>
      </c>
      <c r="J1186" s="178" t="s">
        <v>1490</v>
      </c>
    </row>
    <row r="1187" spans="1:10" x14ac:dyDescent="0.2">
      <c r="A1187" s="119" t="s">
        <v>260</v>
      </c>
      <c r="B1187" s="115" t="s">
        <v>58</v>
      </c>
      <c r="D1187" s="175" t="s">
        <v>1507</v>
      </c>
      <c r="F1187" s="121" t="s">
        <v>1508</v>
      </c>
      <c r="G1187" s="225">
        <v>65.95</v>
      </c>
      <c r="J1187" s="178" t="s">
        <v>1490</v>
      </c>
    </row>
    <row r="1188" spans="1:10" x14ac:dyDescent="0.2">
      <c r="A1188" s="119" t="s">
        <v>260</v>
      </c>
      <c r="B1188" s="115" t="s">
        <v>58</v>
      </c>
      <c r="D1188" s="175" t="s">
        <v>185</v>
      </c>
      <c r="F1188" s="121" t="s">
        <v>1509</v>
      </c>
      <c r="G1188" s="225">
        <v>69.45</v>
      </c>
      <c r="J1188" s="178" t="s">
        <v>1490</v>
      </c>
    </row>
    <row r="1189" spans="1:10" x14ac:dyDescent="0.2">
      <c r="A1189" s="119" t="s">
        <v>260</v>
      </c>
      <c r="B1189" s="115" t="s">
        <v>58</v>
      </c>
      <c r="D1189" s="175" t="s">
        <v>1510</v>
      </c>
      <c r="F1189" s="121" t="s">
        <v>1511</v>
      </c>
      <c r="G1189" s="225">
        <v>69.5</v>
      </c>
      <c r="J1189" s="178" t="s">
        <v>1490</v>
      </c>
    </row>
    <row r="1190" spans="1:10" x14ac:dyDescent="0.2">
      <c r="A1190" s="119" t="s">
        <v>260</v>
      </c>
      <c r="B1190" s="115" t="s">
        <v>58</v>
      </c>
      <c r="D1190" s="175" t="s">
        <v>1512</v>
      </c>
      <c r="F1190" s="121" t="s">
        <v>1513</v>
      </c>
      <c r="G1190" s="225">
        <v>70</v>
      </c>
      <c r="J1190" s="178" t="s">
        <v>1490</v>
      </c>
    </row>
    <row r="1191" spans="1:10" x14ac:dyDescent="0.2">
      <c r="A1191" s="119" t="s">
        <v>260</v>
      </c>
      <c r="B1191" s="115" t="s">
        <v>58</v>
      </c>
      <c r="D1191" s="175" t="s">
        <v>1514</v>
      </c>
      <c r="F1191" s="121" t="s">
        <v>1515</v>
      </c>
      <c r="G1191" s="225">
        <v>73.55</v>
      </c>
      <c r="J1191" s="178" t="s">
        <v>1490</v>
      </c>
    </row>
    <row r="1192" spans="1:10" x14ac:dyDescent="0.2">
      <c r="A1192" s="119" t="s">
        <v>260</v>
      </c>
      <c r="B1192" s="115" t="s">
        <v>58</v>
      </c>
      <c r="D1192" s="175" t="s">
        <v>68</v>
      </c>
      <c r="F1192" s="121" t="s">
        <v>69</v>
      </c>
      <c r="G1192" s="225">
        <v>34.9</v>
      </c>
      <c r="J1192" s="178" t="s">
        <v>61</v>
      </c>
    </row>
    <row r="1193" spans="1:10" x14ac:dyDescent="0.2">
      <c r="A1193" s="119" t="s">
        <v>260</v>
      </c>
      <c r="B1193" s="115" t="s">
        <v>58</v>
      </c>
      <c r="D1193" s="175" t="s">
        <v>1516</v>
      </c>
      <c r="F1193" s="121" t="s">
        <v>1517</v>
      </c>
      <c r="G1193" s="225">
        <v>84.95</v>
      </c>
      <c r="J1193" s="178" t="s">
        <v>1490</v>
      </c>
    </row>
    <row r="1194" spans="1:10" x14ac:dyDescent="0.2">
      <c r="A1194" s="119" t="s">
        <v>260</v>
      </c>
      <c r="B1194" s="115" t="s">
        <v>58</v>
      </c>
      <c r="D1194" s="175" t="s">
        <v>1518</v>
      </c>
      <c r="F1194" s="121" t="s">
        <v>1519</v>
      </c>
      <c r="G1194" s="225">
        <v>84.96</v>
      </c>
      <c r="J1194" s="178" t="s">
        <v>1490</v>
      </c>
    </row>
    <row r="1195" spans="1:10" x14ac:dyDescent="0.2">
      <c r="A1195" s="119" t="s">
        <v>260</v>
      </c>
      <c r="B1195" s="115" t="s">
        <v>58</v>
      </c>
      <c r="D1195" s="175" t="s">
        <v>70</v>
      </c>
      <c r="F1195" s="121" t="s">
        <v>71</v>
      </c>
      <c r="G1195" s="225">
        <v>-90.26</v>
      </c>
      <c r="J1195" s="19" t="s">
        <v>72</v>
      </c>
    </row>
    <row r="1196" spans="1:10" x14ac:dyDescent="0.2">
      <c r="A1196" s="119" t="s">
        <v>260</v>
      </c>
      <c r="B1196" s="115" t="s">
        <v>58</v>
      </c>
      <c r="D1196" s="175" t="s">
        <v>1520</v>
      </c>
      <c r="F1196" s="121" t="s">
        <v>1521</v>
      </c>
      <c r="G1196" s="225">
        <v>57.45</v>
      </c>
      <c r="J1196" s="178" t="s">
        <v>1490</v>
      </c>
    </row>
    <row r="1197" spans="1:10" x14ac:dyDescent="0.2">
      <c r="A1197" s="119" t="s">
        <v>260</v>
      </c>
      <c r="B1197" s="115" t="s">
        <v>58</v>
      </c>
      <c r="D1197" s="175" t="s">
        <v>1522</v>
      </c>
      <c r="F1197" s="121" t="s">
        <v>1523</v>
      </c>
      <c r="G1197" s="225">
        <v>114.44</v>
      </c>
      <c r="J1197" s="178" t="s">
        <v>1490</v>
      </c>
    </row>
    <row r="1198" spans="1:10" x14ac:dyDescent="0.2">
      <c r="A1198" s="119" t="s">
        <v>260</v>
      </c>
      <c r="B1198" s="115" t="s">
        <v>58</v>
      </c>
      <c r="D1198" s="175" t="s">
        <v>73</v>
      </c>
      <c r="F1198" s="121" t="s">
        <v>74</v>
      </c>
      <c r="G1198" s="225">
        <v>101.24</v>
      </c>
      <c r="J1198" s="178" t="s">
        <v>61</v>
      </c>
    </row>
    <row r="1199" spans="1:10" x14ac:dyDescent="0.2">
      <c r="A1199" s="119" t="s">
        <v>260</v>
      </c>
      <c r="B1199" s="115" t="s">
        <v>58</v>
      </c>
      <c r="D1199" s="175" t="s">
        <v>1524</v>
      </c>
      <c r="F1199" s="121" t="s">
        <v>1525</v>
      </c>
      <c r="G1199" s="225">
        <v>104.95</v>
      </c>
      <c r="J1199" s="178" t="s">
        <v>1490</v>
      </c>
    </row>
    <row r="1200" spans="1:10" x14ac:dyDescent="0.2">
      <c r="A1200" s="119" t="s">
        <v>260</v>
      </c>
      <c r="B1200" s="115" t="s">
        <v>58</v>
      </c>
      <c r="D1200" s="175" t="s">
        <v>75</v>
      </c>
      <c r="F1200" s="121" t="s">
        <v>76</v>
      </c>
      <c r="G1200" s="225">
        <v>9.26</v>
      </c>
      <c r="J1200" s="178" t="s">
        <v>61</v>
      </c>
    </row>
    <row r="1201" spans="1:10" x14ac:dyDescent="0.2">
      <c r="A1201" s="119" t="s">
        <v>260</v>
      </c>
      <c r="B1201" s="115" t="s">
        <v>58</v>
      </c>
      <c r="D1201" s="175" t="s">
        <v>1526</v>
      </c>
      <c r="F1201" s="121" t="s">
        <v>1527</v>
      </c>
      <c r="G1201" s="225">
        <v>108.95</v>
      </c>
      <c r="J1201" s="178" t="s">
        <v>1490</v>
      </c>
    </row>
    <row r="1202" spans="1:10" x14ac:dyDescent="0.2">
      <c r="A1202" s="119" t="s">
        <v>260</v>
      </c>
      <c r="B1202" s="115" t="s">
        <v>58</v>
      </c>
      <c r="D1202" s="175" t="s">
        <v>1528</v>
      </c>
      <c r="F1202" s="121" t="s">
        <v>1529</v>
      </c>
      <c r="G1202" s="225">
        <v>118.95</v>
      </c>
      <c r="J1202" s="178" t="s">
        <v>1490</v>
      </c>
    </row>
    <row r="1203" spans="1:10" x14ac:dyDescent="0.2">
      <c r="A1203" s="119" t="s">
        <v>260</v>
      </c>
      <c r="B1203" s="115" t="s">
        <v>58</v>
      </c>
      <c r="D1203" s="175" t="s">
        <v>1530</v>
      </c>
      <c r="F1203" s="121" t="s">
        <v>1531</v>
      </c>
      <c r="G1203" s="225">
        <v>127.95</v>
      </c>
      <c r="J1203" s="178" t="s">
        <v>1490</v>
      </c>
    </row>
    <row r="1204" spans="1:10" x14ac:dyDescent="0.2">
      <c r="A1204" s="119" t="s">
        <v>260</v>
      </c>
      <c r="B1204" s="115" t="s">
        <v>58</v>
      </c>
      <c r="D1204" s="175" t="s">
        <v>1532</v>
      </c>
      <c r="F1204" s="121" t="s">
        <v>1533</v>
      </c>
      <c r="G1204" s="225">
        <v>89.95</v>
      </c>
      <c r="J1204" s="178" t="s">
        <v>1490</v>
      </c>
    </row>
    <row r="1205" spans="1:10" x14ac:dyDescent="0.2">
      <c r="A1205" s="119" t="s">
        <v>260</v>
      </c>
      <c r="B1205" s="115" t="s">
        <v>58</v>
      </c>
      <c r="D1205" s="175" t="s">
        <v>1534</v>
      </c>
      <c r="F1205" s="121" t="s">
        <v>1535</v>
      </c>
      <c r="G1205" s="225">
        <v>70.05</v>
      </c>
      <c r="J1205" s="178" t="s">
        <v>1490</v>
      </c>
    </row>
    <row r="1206" spans="1:10" x14ac:dyDescent="0.2">
      <c r="A1206" s="119" t="s">
        <v>260</v>
      </c>
      <c r="B1206" s="115" t="s">
        <v>58</v>
      </c>
      <c r="D1206" s="175" t="s">
        <v>1259</v>
      </c>
      <c r="F1206" s="121" t="s">
        <v>1536</v>
      </c>
      <c r="G1206" s="225">
        <v>25.46</v>
      </c>
      <c r="J1206" s="178" t="s">
        <v>1490</v>
      </c>
    </row>
    <row r="1207" spans="1:10" x14ac:dyDescent="0.2">
      <c r="A1207" s="119" t="s">
        <v>260</v>
      </c>
      <c r="B1207" s="115" t="s">
        <v>58</v>
      </c>
      <c r="D1207" s="175" t="s">
        <v>1537</v>
      </c>
      <c r="F1207" s="121" t="s">
        <v>1538</v>
      </c>
      <c r="G1207" s="225">
        <v>17.7</v>
      </c>
      <c r="J1207" s="178" t="s">
        <v>1490</v>
      </c>
    </row>
    <row r="1208" spans="1:10" x14ac:dyDescent="0.2">
      <c r="A1208" s="119" t="s">
        <v>260</v>
      </c>
      <c r="B1208" s="115" t="s">
        <v>58</v>
      </c>
      <c r="D1208" s="175" t="s">
        <v>215</v>
      </c>
      <c r="F1208" s="121" t="s">
        <v>1539</v>
      </c>
      <c r="G1208" s="225">
        <v>48.41</v>
      </c>
      <c r="J1208" s="178" t="s">
        <v>1490</v>
      </c>
    </row>
    <row r="1209" spans="1:10" x14ac:dyDescent="0.2">
      <c r="A1209" s="119" t="s">
        <v>260</v>
      </c>
      <c r="B1209" s="115" t="s">
        <v>58</v>
      </c>
      <c r="D1209" s="121" t="s">
        <v>215</v>
      </c>
      <c r="F1209" s="121" t="s">
        <v>1540</v>
      </c>
      <c r="G1209" s="225">
        <v>35.659999999999997</v>
      </c>
      <c r="J1209" s="178" t="s">
        <v>1490</v>
      </c>
    </row>
    <row r="1210" spans="1:10" x14ac:dyDescent="0.2">
      <c r="A1210" s="119" t="s">
        <v>260</v>
      </c>
      <c r="B1210" s="115" t="s">
        <v>58</v>
      </c>
      <c r="D1210" s="175" t="s">
        <v>1541</v>
      </c>
      <c r="F1210" s="121" t="s">
        <v>1542</v>
      </c>
      <c r="G1210" s="225">
        <v>104.89</v>
      </c>
      <c r="J1210" s="178" t="s">
        <v>1490</v>
      </c>
    </row>
    <row r="1211" spans="1:10" x14ac:dyDescent="0.2">
      <c r="A1211" s="119" t="s">
        <v>260</v>
      </c>
      <c r="B1211" s="115" t="s">
        <v>58</v>
      </c>
      <c r="D1211" s="175" t="s">
        <v>1279</v>
      </c>
      <c r="F1211" s="121" t="s">
        <v>1543</v>
      </c>
      <c r="G1211" s="225">
        <v>78.95</v>
      </c>
      <c r="J1211" s="178" t="s">
        <v>1490</v>
      </c>
    </row>
    <row r="1212" spans="1:10" x14ac:dyDescent="0.2">
      <c r="A1212" s="119" t="s">
        <v>260</v>
      </c>
      <c r="B1212" s="115" t="s">
        <v>58</v>
      </c>
      <c r="D1212" s="175" t="s">
        <v>77</v>
      </c>
      <c r="F1212" s="121" t="s">
        <v>78</v>
      </c>
      <c r="G1212" s="225">
        <v>30.56</v>
      </c>
      <c r="J1212" s="178" t="s">
        <v>61</v>
      </c>
    </row>
    <row r="1213" spans="1:10" x14ac:dyDescent="0.2">
      <c r="A1213" s="119" t="s">
        <v>260</v>
      </c>
      <c r="B1213" s="115" t="s">
        <v>58</v>
      </c>
      <c r="D1213" s="175" t="s">
        <v>1544</v>
      </c>
      <c r="F1213" s="121" t="s">
        <v>1545</v>
      </c>
      <c r="G1213" s="225">
        <v>404.35</v>
      </c>
      <c r="J1213" s="178" t="s">
        <v>1490</v>
      </c>
    </row>
    <row r="1214" spans="1:10" x14ac:dyDescent="0.2">
      <c r="A1214" s="119" t="s">
        <v>260</v>
      </c>
      <c r="B1214" s="115" t="s">
        <v>58</v>
      </c>
      <c r="D1214" s="175" t="s">
        <v>1459</v>
      </c>
      <c r="F1214" s="121" t="s">
        <v>1546</v>
      </c>
      <c r="G1214" s="225">
        <f>253.15*3</f>
        <v>759.45</v>
      </c>
      <c r="J1214" s="178" t="s">
        <v>1490</v>
      </c>
    </row>
    <row r="1215" spans="1:10" x14ac:dyDescent="0.2">
      <c r="A1215" s="119" t="s">
        <v>260</v>
      </c>
      <c r="B1215" s="115" t="s">
        <v>58</v>
      </c>
      <c r="D1215" s="175" t="s">
        <v>181</v>
      </c>
      <c r="F1215" s="121" t="s">
        <v>1547</v>
      </c>
      <c r="G1215" s="225">
        <v>95.7</v>
      </c>
      <c r="J1215" s="178" t="s">
        <v>1490</v>
      </c>
    </row>
    <row r="1216" spans="1:10" x14ac:dyDescent="0.2">
      <c r="A1216" s="119" t="s">
        <v>260</v>
      </c>
      <c r="B1216" s="115" t="s">
        <v>0</v>
      </c>
      <c r="D1216" s="175" t="s">
        <v>83</v>
      </c>
      <c r="F1216" s="121" t="s">
        <v>84</v>
      </c>
      <c r="G1216" s="225">
        <v>58.75</v>
      </c>
      <c r="J1216" s="178" t="s">
        <v>85</v>
      </c>
    </row>
    <row r="1217" spans="1:10" x14ac:dyDescent="0.2">
      <c r="A1217" s="119" t="s">
        <v>260</v>
      </c>
      <c r="B1217" s="115" t="s">
        <v>0</v>
      </c>
      <c r="D1217" s="175" t="s">
        <v>86</v>
      </c>
      <c r="F1217" s="121" t="s">
        <v>87</v>
      </c>
      <c r="G1217" s="225">
        <v>56</v>
      </c>
      <c r="J1217" s="178" t="s">
        <v>85</v>
      </c>
    </row>
    <row r="1218" spans="1:10" x14ac:dyDescent="0.2">
      <c r="A1218" s="119" t="s">
        <v>260</v>
      </c>
      <c r="B1218" s="115" t="s">
        <v>0</v>
      </c>
      <c r="D1218" s="179" t="s">
        <v>56</v>
      </c>
      <c r="F1218" s="121" t="s">
        <v>88</v>
      </c>
      <c r="G1218" s="225">
        <v>2</v>
      </c>
      <c r="J1218" s="178" t="s">
        <v>85</v>
      </c>
    </row>
    <row r="1219" spans="1:10" x14ac:dyDescent="0.2">
      <c r="A1219" s="119" t="s">
        <v>260</v>
      </c>
      <c r="B1219" s="115" t="s">
        <v>0</v>
      </c>
      <c r="D1219" s="121" t="s">
        <v>56</v>
      </c>
      <c r="F1219" s="121" t="s">
        <v>89</v>
      </c>
      <c r="G1219" s="225">
        <v>1.1599999999999999</v>
      </c>
      <c r="J1219" s="178" t="s">
        <v>85</v>
      </c>
    </row>
    <row r="1220" spans="1:10" x14ac:dyDescent="0.2">
      <c r="A1220" s="119" t="s">
        <v>260</v>
      </c>
      <c r="B1220" s="115" t="s">
        <v>0</v>
      </c>
      <c r="D1220" s="121" t="s">
        <v>56</v>
      </c>
      <c r="F1220" s="121" t="s">
        <v>90</v>
      </c>
      <c r="G1220" s="225">
        <v>5.28</v>
      </c>
      <c r="J1220" s="178" t="s">
        <v>85</v>
      </c>
    </row>
    <row r="1221" spans="1:10" x14ac:dyDescent="0.2">
      <c r="A1221" s="119" t="s">
        <v>260</v>
      </c>
      <c r="B1221" s="115" t="s">
        <v>0</v>
      </c>
      <c r="D1221" s="175" t="s">
        <v>241</v>
      </c>
      <c r="F1221" s="121"/>
      <c r="G1221" s="225">
        <v>163.09</v>
      </c>
      <c r="J1221" s="178" t="s">
        <v>81</v>
      </c>
    </row>
    <row r="1222" spans="1:10" s="203" customFormat="1" x14ac:dyDescent="0.2">
      <c r="A1222" s="221" t="s">
        <v>260</v>
      </c>
      <c r="B1222" s="216" t="s">
        <v>0</v>
      </c>
      <c r="C1222" s="203" t="s">
        <v>209</v>
      </c>
      <c r="D1222" s="270" t="s">
        <v>1548</v>
      </c>
      <c r="E1222" s="68"/>
      <c r="F1222" s="217"/>
      <c r="G1222" s="241">
        <v>159.9</v>
      </c>
      <c r="J1222" s="273" t="s">
        <v>246</v>
      </c>
    </row>
    <row r="1223" spans="1:10" s="203" customFormat="1" x14ac:dyDescent="0.2">
      <c r="A1223" s="221" t="s">
        <v>260</v>
      </c>
      <c r="B1223" s="216" t="s">
        <v>0</v>
      </c>
      <c r="C1223" s="203" t="s">
        <v>209</v>
      </c>
      <c r="D1223" s="270" t="s">
        <v>1549</v>
      </c>
      <c r="E1223" s="68"/>
      <c r="F1223" s="217"/>
      <c r="G1223" s="241">
        <v>22.62</v>
      </c>
      <c r="J1223" s="273" t="s">
        <v>246</v>
      </c>
    </row>
    <row r="1224" spans="1:10" s="203" customFormat="1" x14ac:dyDescent="0.2">
      <c r="A1224" s="221" t="s">
        <v>260</v>
      </c>
      <c r="B1224" s="216" t="s">
        <v>0</v>
      </c>
      <c r="C1224" s="203" t="s">
        <v>209</v>
      </c>
      <c r="D1224" s="270" t="s">
        <v>1550</v>
      </c>
      <c r="E1224" s="68"/>
      <c r="F1224" s="217"/>
      <c r="G1224" s="241">
        <v>23.9</v>
      </c>
      <c r="J1224" s="273" t="s">
        <v>246</v>
      </c>
    </row>
    <row r="1225" spans="1:10" x14ac:dyDescent="0.2">
      <c r="A1225" s="119" t="s">
        <v>260</v>
      </c>
      <c r="B1225" s="115" t="s">
        <v>0</v>
      </c>
      <c r="D1225" s="175" t="s">
        <v>1551</v>
      </c>
      <c r="F1225" s="121"/>
      <c r="G1225" s="225">
        <v>32.04</v>
      </c>
      <c r="J1225" s="178" t="s">
        <v>81</v>
      </c>
    </row>
    <row r="1226" spans="1:10" s="203" customFormat="1" x14ac:dyDescent="0.2">
      <c r="A1226" s="221" t="s">
        <v>260</v>
      </c>
      <c r="B1226" s="216" t="s">
        <v>0</v>
      </c>
      <c r="C1226" s="203" t="s">
        <v>209</v>
      </c>
      <c r="D1226" s="270" t="s">
        <v>1552</v>
      </c>
      <c r="E1226" s="68"/>
      <c r="F1226" s="217"/>
      <c r="G1226" s="241">
        <v>34.950000000000003</v>
      </c>
      <c r="J1226" s="273" t="s">
        <v>246</v>
      </c>
    </row>
    <row r="1227" spans="1:10" s="203" customFormat="1" x14ac:dyDescent="0.2">
      <c r="A1227" s="221" t="s">
        <v>260</v>
      </c>
      <c r="B1227" s="216" t="s">
        <v>0</v>
      </c>
      <c r="C1227" s="203" t="s">
        <v>209</v>
      </c>
      <c r="D1227" s="270" t="s">
        <v>1553</v>
      </c>
      <c r="E1227" s="68"/>
      <c r="F1227" s="217"/>
      <c r="G1227" s="241">
        <v>36.24</v>
      </c>
      <c r="J1227" s="273" t="s">
        <v>246</v>
      </c>
    </row>
    <row r="1228" spans="1:10" x14ac:dyDescent="0.2">
      <c r="A1228" s="119" t="s">
        <v>260</v>
      </c>
      <c r="B1228" s="115" t="s">
        <v>0</v>
      </c>
      <c r="D1228" s="175" t="s">
        <v>79</v>
      </c>
      <c r="F1228" s="121"/>
      <c r="G1228" s="225">
        <v>39.46</v>
      </c>
      <c r="J1228" s="178" t="s">
        <v>81</v>
      </c>
    </row>
    <row r="1229" spans="1:10" s="203" customFormat="1" x14ac:dyDescent="0.2">
      <c r="A1229" s="221" t="s">
        <v>260</v>
      </c>
      <c r="B1229" s="216" t="s">
        <v>0</v>
      </c>
      <c r="C1229" s="203" t="s">
        <v>209</v>
      </c>
      <c r="D1229" s="270" t="s">
        <v>1554</v>
      </c>
      <c r="E1229" s="68"/>
      <c r="F1229" s="217"/>
      <c r="G1229" s="241">
        <v>48.71</v>
      </c>
      <c r="J1229" s="273" t="s">
        <v>246</v>
      </c>
    </row>
    <row r="1230" spans="1:10" x14ac:dyDescent="0.2">
      <c r="A1230" s="119" t="s">
        <v>260</v>
      </c>
      <c r="B1230" s="115" t="s">
        <v>0</v>
      </c>
      <c r="D1230" s="175" t="s">
        <v>1481</v>
      </c>
      <c r="F1230" s="121"/>
      <c r="G1230" s="225">
        <v>48.82</v>
      </c>
      <c r="J1230" s="178" t="s">
        <v>81</v>
      </c>
    </row>
    <row r="1231" spans="1:10" s="203" customFormat="1" x14ac:dyDescent="0.2">
      <c r="A1231" s="221" t="s">
        <v>260</v>
      </c>
      <c r="B1231" s="216" t="s">
        <v>0</v>
      </c>
      <c r="C1231" s="203" t="s">
        <v>209</v>
      </c>
      <c r="D1231" s="270" t="s">
        <v>1555</v>
      </c>
      <c r="E1231" s="68"/>
      <c r="F1231" s="217"/>
      <c r="G1231" s="241">
        <v>50.68</v>
      </c>
      <c r="J1231" s="273" t="s">
        <v>246</v>
      </c>
    </row>
    <row r="1232" spans="1:10" s="203" customFormat="1" x14ac:dyDescent="0.2">
      <c r="A1232" s="221" t="s">
        <v>260</v>
      </c>
      <c r="B1232" s="216" t="s">
        <v>0</v>
      </c>
      <c r="C1232" s="203" t="s">
        <v>209</v>
      </c>
      <c r="D1232" s="270" t="s">
        <v>1556</v>
      </c>
      <c r="E1232" s="68"/>
      <c r="F1232" s="217"/>
      <c r="G1232" s="241">
        <v>52.76</v>
      </c>
      <c r="J1232" s="273" t="s">
        <v>246</v>
      </c>
    </row>
    <row r="1233" spans="1:10" s="203" customFormat="1" x14ac:dyDescent="0.2">
      <c r="A1233" s="221" t="s">
        <v>260</v>
      </c>
      <c r="B1233" s="216" t="s">
        <v>0</v>
      </c>
      <c r="C1233" s="203" t="s">
        <v>209</v>
      </c>
      <c r="D1233" s="270" t="s">
        <v>1557</v>
      </c>
      <c r="E1233" s="68"/>
      <c r="F1233" s="217"/>
      <c r="G1233" s="241">
        <v>105.88</v>
      </c>
      <c r="J1233" s="273" t="s">
        <v>246</v>
      </c>
    </row>
    <row r="1234" spans="1:10" s="203" customFormat="1" x14ac:dyDescent="0.2">
      <c r="A1234" s="221" t="s">
        <v>260</v>
      </c>
      <c r="B1234" s="216" t="s">
        <v>0</v>
      </c>
      <c r="C1234" s="203" t="s">
        <v>209</v>
      </c>
      <c r="D1234" s="270" t="s">
        <v>1487</v>
      </c>
      <c r="E1234" s="68"/>
      <c r="F1234" s="217"/>
      <c r="G1234" s="241">
        <v>26</v>
      </c>
      <c r="J1234" s="273" t="s">
        <v>246</v>
      </c>
    </row>
    <row r="1235" spans="1:10" s="203" customFormat="1" x14ac:dyDescent="0.2">
      <c r="A1235" s="221" t="s">
        <v>260</v>
      </c>
      <c r="B1235" s="216" t="s">
        <v>0</v>
      </c>
      <c r="C1235" s="203" t="s">
        <v>209</v>
      </c>
      <c r="D1235" s="270" t="s">
        <v>1558</v>
      </c>
      <c r="E1235" s="68"/>
      <c r="F1235" s="217"/>
      <c r="G1235" s="241">
        <v>238.95</v>
      </c>
      <c r="J1235" s="273" t="s">
        <v>246</v>
      </c>
    </row>
    <row r="1236" spans="1:10" x14ac:dyDescent="0.2">
      <c r="A1236" s="119" t="s">
        <v>260</v>
      </c>
      <c r="B1236" s="115" t="s">
        <v>0</v>
      </c>
      <c r="D1236" s="175" t="s">
        <v>1484</v>
      </c>
      <c r="F1236" s="121"/>
      <c r="G1236" s="225">
        <v>259.74</v>
      </c>
      <c r="J1236" s="178" t="s">
        <v>81</v>
      </c>
    </row>
    <row r="1237" spans="1:10" x14ac:dyDescent="0.2">
      <c r="A1237" s="119" t="s">
        <v>260</v>
      </c>
      <c r="B1237" s="115" t="s">
        <v>0</v>
      </c>
      <c r="C1237" s="117" t="s">
        <v>209</v>
      </c>
      <c r="D1237" s="175" t="s">
        <v>1559</v>
      </c>
      <c r="F1237" s="121"/>
      <c r="G1237" s="225">
        <v>283.63</v>
      </c>
      <c r="J1237" s="178" t="s">
        <v>81</v>
      </c>
    </row>
    <row r="1238" spans="1:10" s="203" customFormat="1" x14ac:dyDescent="0.2">
      <c r="A1238" s="215">
        <v>42548</v>
      </c>
      <c r="B1238" s="216" t="s">
        <v>127</v>
      </c>
      <c r="C1238" s="203" t="s">
        <v>151</v>
      </c>
      <c r="D1238" s="278" t="s">
        <v>286</v>
      </c>
      <c r="E1238" s="68">
        <v>350330</v>
      </c>
      <c r="F1238" s="217"/>
      <c r="G1238" s="241">
        <v>139.05000000000001</v>
      </c>
      <c r="H1238" s="203">
        <v>2086954</v>
      </c>
      <c r="J1238" s="273" t="s">
        <v>246</v>
      </c>
    </row>
    <row r="1239" spans="1:10" s="203" customFormat="1" x14ac:dyDescent="0.2">
      <c r="A1239" s="215">
        <v>42548</v>
      </c>
      <c r="B1239" s="216" t="s">
        <v>127</v>
      </c>
      <c r="C1239" s="203" t="s">
        <v>151</v>
      </c>
      <c r="D1239" s="217" t="s">
        <v>286</v>
      </c>
      <c r="E1239" s="68">
        <v>350330</v>
      </c>
      <c r="F1239" s="217"/>
      <c r="G1239" s="241">
        <v>60.94</v>
      </c>
      <c r="H1239" s="203">
        <v>2090702</v>
      </c>
      <c r="J1239" s="273" t="s">
        <v>246</v>
      </c>
    </row>
    <row r="1240" spans="1:10" s="203" customFormat="1" x14ac:dyDescent="0.2">
      <c r="A1240" s="215">
        <v>42549</v>
      </c>
      <c r="B1240" s="216" t="s">
        <v>127</v>
      </c>
      <c r="C1240" s="203" t="s">
        <v>151</v>
      </c>
      <c r="D1240" s="217" t="s">
        <v>286</v>
      </c>
      <c r="E1240" s="68">
        <v>350330</v>
      </c>
      <c r="F1240" s="217"/>
      <c r="G1240" s="241">
        <v>51.31</v>
      </c>
      <c r="H1240" s="203">
        <v>2105333</v>
      </c>
      <c r="J1240" s="273" t="s">
        <v>246</v>
      </c>
    </row>
    <row r="1241" spans="1:10" s="203" customFormat="1" x14ac:dyDescent="0.2">
      <c r="A1241" s="215">
        <v>42549</v>
      </c>
      <c r="B1241" s="216" t="s">
        <v>127</v>
      </c>
      <c r="C1241" s="203" t="s">
        <v>151</v>
      </c>
      <c r="D1241" s="217" t="s">
        <v>286</v>
      </c>
      <c r="E1241" s="68">
        <v>350330</v>
      </c>
      <c r="F1241" s="217"/>
      <c r="G1241" s="241">
        <v>60.94</v>
      </c>
      <c r="H1241" s="203">
        <v>2092878</v>
      </c>
      <c r="J1241" s="273" t="s">
        <v>246</v>
      </c>
    </row>
    <row r="1242" spans="1:10" s="203" customFormat="1" x14ac:dyDescent="0.2">
      <c r="A1242" s="215">
        <v>42545</v>
      </c>
      <c r="B1242" s="216" t="s">
        <v>127</v>
      </c>
      <c r="C1242" s="203" t="s">
        <v>151</v>
      </c>
      <c r="D1242" s="270" t="s">
        <v>181</v>
      </c>
      <c r="E1242" s="68">
        <v>351215</v>
      </c>
      <c r="F1242" s="217"/>
      <c r="G1242" s="241">
        <v>63</v>
      </c>
      <c r="H1242" s="203">
        <v>2097560</v>
      </c>
      <c r="J1242" s="273" t="s">
        <v>246</v>
      </c>
    </row>
    <row r="1243" spans="1:10" s="203" customFormat="1" x14ac:dyDescent="0.2">
      <c r="A1243" s="215">
        <v>42545</v>
      </c>
      <c r="B1243" s="216" t="s">
        <v>127</v>
      </c>
      <c r="C1243" s="203" t="s">
        <v>151</v>
      </c>
      <c r="D1243" s="270" t="s">
        <v>181</v>
      </c>
      <c r="E1243" s="68">
        <v>351215</v>
      </c>
      <c r="F1243" s="217"/>
      <c r="G1243" s="241">
        <v>69.55</v>
      </c>
      <c r="H1243" s="203">
        <v>2099369</v>
      </c>
      <c r="J1243" s="273" t="s">
        <v>246</v>
      </c>
    </row>
    <row r="1244" spans="1:10" s="203" customFormat="1" x14ac:dyDescent="0.2">
      <c r="A1244" s="215">
        <v>42545</v>
      </c>
      <c r="B1244" s="216" t="s">
        <v>127</v>
      </c>
      <c r="C1244" s="203" t="s">
        <v>151</v>
      </c>
      <c r="D1244" s="270" t="s">
        <v>181</v>
      </c>
      <c r="E1244" s="68">
        <v>351215</v>
      </c>
      <c r="F1244" s="217"/>
      <c r="G1244" s="241">
        <v>68.900000000000006</v>
      </c>
      <c r="H1244" s="203">
        <v>2100426</v>
      </c>
      <c r="J1244" s="273" t="s">
        <v>246</v>
      </c>
    </row>
    <row r="1245" spans="1:10" s="203" customFormat="1" x14ac:dyDescent="0.2">
      <c r="A1245" s="215">
        <v>42545</v>
      </c>
      <c r="B1245" s="216" t="s">
        <v>127</v>
      </c>
      <c r="C1245" s="203" t="s">
        <v>151</v>
      </c>
      <c r="D1245" s="270" t="s">
        <v>181</v>
      </c>
      <c r="E1245" s="68">
        <v>351215</v>
      </c>
      <c r="F1245" s="217"/>
      <c r="G1245" s="241">
        <v>163</v>
      </c>
      <c r="H1245" s="203">
        <v>2098921</v>
      </c>
      <c r="J1245" s="273" t="s">
        <v>246</v>
      </c>
    </row>
    <row r="1246" spans="1:10" s="203" customFormat="1" x14ac:dyDescent="0.2">
      <c r="A1246" s="215">
        <v>42545</v>
      </c>
      <c r="B1246" s="216" t="s">
        <v>127</v>
      </c>
      <c r="C1246" s="203" t="s">
        <v>151</v>
      </c>
      <c r="D1246" s="270" t="s">
        <v>181</v>
      </c>
      <c r="E1246" s="68">
        <v>351215</v>
      </c>
      <c r="F1246" s="217"/>
      <c r="G1246" s="241">
        <v>136.88</v>
      </c>
      <c r="H1246" s="203">
        <v>2099310</v>
      </c>
      <c r="J1246" s="273" t="s">
        <v>246</v>
      </c>
    </row>
    <row r="1247" spans="1:10" s="203" customFormat="1" x14ac:dyDescent="0.2">
      <c r="A1247" s="215">
        <v>42545</v>
      </c>
      <c r="B1247" s="216" t="s">
        <v>127</v>
      </c>
      <c r="C1247" s="203" t="s">
        <v>151</v>
      </c>
      <c r="D1247" s="270" t="s">
        <v>181</v>
      </c>
      <c r="E1247" s="68">
        <v>351215</v>
      </c>
      <c r="F1247" s="217"/>
      <c r="G1247" s="241">
        <v>48</v>
      </c>
      <c r="H1247" s="203">
        <v>2097534</v>
      </c>
      <c r="J1247" s="273" t="s">
        <v>246</v>
      </c>
    </row>
    <row r="1248" spans="1:10" s="203" customFormat="1" x14ac:dyDescent="0.2">
      <c r="A1248" s="215">
        <v>42545</v>
      </c>
      <c r="B1248" s="216" t="s">
        <v>127</v>
      </c>
      <c r="C1248" s="203" t="s">
        <v>151</v>
      </c>
      <c r="D1248" s="270" t="s">
        <v>181</v>
      </c>
      <c r="E1248" s="68">
        <v>351215</v>
      </c>
      <c r="F1248" s="217"/>
      <c r="G1248" s="241">
        <v>88</v>
      </c>
      <c r="H1248" s="203">
        <v>2097774</v>
      </c>
      <c r="J1248" s="273" t="s">
        <v>246</v>
      </c>
    </row>
    <row r="1249" spans="1:10" s="203" customFormat="1" x14ac:dyDescent="0.2">
      <c r="A1249" s="215">
        <v>42545</v>
      </c>
      <c r="B1249" s="216" t="s">
        <v>127</v>
      </c>
      <c r="C1249" s="203" t="s">
        <v>151</v>
      </c>
      <c r="D1249" s="270" t="s">
        <v>181</v>
      </c>
      <c r="E1249" s="68">
        <v>351215</v>
      </c>
      <c r="F1249" s="217"/>
      <c r="G1249" s="241">
        <v>117</v>
      </c>
      <c r="H1249" s="203">
        <v>2098709</v>
      </c>
      <c r="J1249" s="273" t="s">
        <v>246</v>
      </c>
    </row>
    <row r="1250" spans="1:10" s="203" customFormat="1" x14ac:dyDescent="0.2">
      <c r="A1250" s="215">
        <v>42545</v>
      </c>
      <c r="B1250" s="216" t="s">
        <v>127</v>
      </c>
      <c r="C1250" s="203" t="s">
        <v>151</v>
      </c>
      <c r="D1250" s="270" t="s">
        <v>181</v>
      </c>
      <c r="E1250" s="68">
        <v>351215</v>
      </c>
      <c r="F1250" s="217"/>
      <c r="G1250" s="241">
        <v>50.56</v>
      </c>
      <c r="H1250" s="203">
        <v>2099330</v>
      </c>
      <c r="J1250" s="273" t="s">
        <v>246</v>
      </c>
    </row>
    <row r="1251" spans="1:10" s="203" customFormat="1" x14ac:dyDescent="0.2">
      <c r="A1251" s="215">
        <v>42545</v>
      </c>
      <c r="B1251" s="216" t="s">
        <v>127</v>
      </c>
      <c r="C1251" s="203" t="s">
        <v>151</v>
      </c>
      <c r="D1251" s="270" t="s">
        <v>181</v>
      </c>
      <c r="E1251" s="68">
        <v>351215</v>
      </c>
      <c r="F1251" s="217"/>
      <c r="G1251" s="241">
        <v>53</v>
      </c>
      <c r="H1251" s="203">
        <v>2100470</v>
      </c>
      <c r="J1251" s="273" t="s">
        <v>246</v>
      </c>
    </row>
    <row r="1252" spans="1:10" s="203" customFormat="1" x14ac:dyDescent="0.2">
      <c r="A1252" s="215">
        <v>42545</v>
      </c>
      <c r="B1252" s="216" t="s">
        <v>127</v>
      </c>
      <c r="C1252" s="203" t="s">
        <v>151</v>
      </c>
      <c r="D1252" s="270" t="s">
        <v>181</v>
      </c>
      <c r="E1252" s="68">
        <v>351215</v>
      </c>
      <c r="F1252" s="217"/>
      <c r="G1252" s="241">
        <v>87.48</v>
      </c>
      <c r="H1252" s="203">
        <v>2100646</v>
      </c>
      <c r="J1252" s="273" t="s">
        <v>246</v>
      </c>
    </row>
    <row r="1253" spans="1:10" s="203" customFormat="1" x14ac:dyDescent="0.2">
      <c r="A1253" s="215">
        <v>42545</v>
      </c>
      <c r="B1253" s="216" t="s">
        <v>127</v>
      </c>
      <c r="C1253" s="203" t="s">
        <v>151</v>
      </c>
      <c r="D1253" s="270" t="s">
        <v>181</v>
      </c>
      <c r="E1253" s="68">
        <v>351215</v>
      </c>
      <c r="F1253" s="217"/>
      <c r="G1253" s="241">
        <v>84.94</v>
      </c>
      <c r="H1253" s="203">
        <v>2096538</v>
      </c>
      <c r="J1253" s="273" t="s">
        <v>246</v>
      </c>
    </row>
    <row r="1254" spans="1:10" s="203" customFormat="1" x14ac:dyDescent="0.2">
      <c r="A1254" s="215">
        <v>42545</v>
      </c>
      <c r="B1254" s="216" t="s">
        <v>127</v>
      </c>
      <c r="C1254" s="203" t="s">
        <v>151</v>
      </c>
      <c r="D1254" s="270" t="s">
        <v>181</v>
      </c>
      <c r="E1254" s="68">
        <v>351215</v>
      </c>
      <c r="F1254" s="217"/>
      <c r="G1254" s="241">
        <v>49.11</v>
      </c>
      <c r="H1254" s="203">
        <v>2099568</v>
      </c>
      <c r="J1254" s="273" t="s">
        <v>246</v>
      </c>
    </row>
    <row r="1255" spans="1:10" s="203" customFormat="1" x14ac:dyDescent="0.2">
      <c r="A1255" s="215">
        <v>42545</v>
      </c>
      <c r="B1255" s="216" t="s">
        <v>127</v>
      </c>
      <c r="C1255" s="203" t="s">
        <v>151</v>
      </c>
      <c r="D1255" s="270" t="s">
        <v>181</v>
      </c>
      <c r="E1255" s="68">
        <v>351215</v>
      </c>
      <c r="F1255" s="217"/>
      <c r="G1255" s="241">
        <v>21.9</v>
      </c>
      <c r="H1255" s="203">
        <v>2100808</v>
      </c>
      <c r="J1255" s="273" t="s">
        <v>246</v>
      </c>
    </row>
    <row r="1256" spans="1:10" s="203" customFormat="1" x14ac:dyDescent="0.2">
      <c r="A1256" s="215">
        <v>42545</v>
      </c>
      <c r="B1256" s="216" t="s">
        <v>127</v>
      </c>
      <c r="C1256" s="203" t="s">
        <v>151</v>
      </c>
      <c r="D1256" s="270" t="s">
        <v>181</v>
      </c>
      <c r="E1256" s="68">
        <v>351215</v>
      </c>
      <c r="F1256" s="217"/>
      <c r="G1256" s="241">
        <v>99.15</v>
      </c>
      <c r="H1256" s="203">
        <v>2099595</v>
      </c>
      <c r="J1256" s="273" t="s">
        <v>246</v>
      </c>
    </row>
    <row r="1257" spans="1:10" s="203" customFormat="1" x14ac:dyDescent="0.2">
      <c r="A1257" s="215">
        <v>42545</v>
      </c>
      <c r="B1257" s="216" t="s">
        <v>127</v>
      </c>
      <c r="C1257" s="203" t="s">
        <v>151</v>
      </c>
      <c r="D1257" s="270" t="s">
        <v>181</v>
      </c>
      <c r="E1257" s="68">
        <v>351215</v>
      </c>
      <c r="F1257" s="217"/>
      <c r="G1257" s="241">
        <v>10</v>
      </c>
      <c r="H1257" s="203">
        <v>2045909</v>
      </c>
      <c r="J1257" s="273" t="s">
        <v>246</v>
      </c>
    </row>
    <row r="1258" spans="1:10" s="203" customFormat="1" x14ac:dyDescent="0.2">
      <c r="A1258" s="215">
        <v>42545</v>
      </c>
      <c r="B1258" s="216" t="s">
        <v>127</v>
      </c>
      <c r="C1258" s="203" t="s">
        <v>151</v>
      </c>
      <c r="D1258" s="270" t="s">
        <v>181</v>
      </c>
      <c r="E1258" s="68">
        <v>351215</v>
      </c>
      <c r="F1258" s="217"/>
      <c r="G1258" s="241">
        <v>93.94</v>
      </c>
      <c r="H1258" s="203">
        <v>2097890</v>
      </c>
      <c r="J1258" s="273" t="s">
        <v>246</v>
      </c>
    </row>
    <row r="1259" spans="1:10" s="203" customFormat="1" x14ac:dyDescent="0.2">
      <c r="A1259" s="215">
        <v>42545</v>
      </c>
      <c r="B1259" s="216" t="s">
        <v>127</v>
      </c>
      <c r="C1259" s="203" t="s">
        <v>151</v>
      </c>
      <c r="D1259" s="270" t="s">
        <v>181</v>
      </c>
      <c r="E1259" s="68">
        <v>351215</v>
      </c>
      <c r="F1259" s="217"/>
      <c r="G1259" s="241">
        <v>245.74</v>
      </c>
      <c r="H1259" s="203">
        <v>2099323</v>
      </c>
      <c r="J1259" s="273" t="s">
        <v>246</v>
      </c>
    </row>
    <row r="1260" spans="1:10" s="203" customFormat="1" x14ac:dyDescent="0.2">
      <c r="A1260" s="215">
        <v>42545</v>
      </c>
      <c r="B1260" s="216" t="s">
        <v>127</v>
      </c>
      <c r="C1260" s="203" t="s">
        <v>151</v>
      </c>
      <c r="D1260" s="270" t="s">
        <v>181</v>
      </c>
      <c r="E1260" s="68">
        <v>351215</v>
      </c>
      <c r="F1260" s="217"/>
      <c r="G1260" s="241">
        <v>208</v>
      </c>
      <c r="H1260" s="203">
        <v>2096659</v>
      </c>
      <c r="J1260" s="273" t="s">
        <v>246</v>
      </c>
    </row>
    <row r="1261" spans="1:10" s="203" customFormat="1" x14ac:dyDescent="0.2">
      <c r="A1261" s="215">
        <v>42545</v>
      </c>
      <c r="B1261" s="216" t="s">
        <v>127</v>
      </c>
      <c r="C1261" s="203" t="s">
        <v>151</v>
      </c>
      <c r="D1261" s="270" t="s">
        <v>181</v>
      </c>
      <c r="E1261" s="68">
        <v>351215</v>
      </c>
      <c r="F1261" s="217"/>
      <c r="G1261" s="241">
        <v>56.18</v>
      </c>
      <c r="H1261" s="203">
        <v>2101817</v>
      </c>
      <c r="J1261" s="273" t="s">
        <v>246</v>
      </c>
    </row>
    <row r="1262" spans="1:10" s="203" customFormat="1" x14ac:dyDescent="0.2">
      <c r="A1262" s="215">
        <v>42545</v>
      </c>
      <c r="B1262" s="216" t="s">
        <v>127</v>
      </c>
      <c r="C1262" s="203" t="s">
        <v>151</v>
      </c>
      <c r="D1262" s="270" t="s">
        <v>181</v>
      </c>
      <c r="E1262" s="68">
        <v>351215</v>
      </c>
      <c r="F1262" s="217"/>
      <c r="G1262" s="241">
        <v>26.82</v>
      </c>
      <c r="H1262" s="203">
        <v>2098813</v>
      </c>
      <c r="J1262" s="273" t="s">
        <v>246</v>
      </c>
    </row>
    <row r="1263" spans="1:10" s="203" customFormat="1" x14ac:dyDescent="0.2">
      <c r="A1263" s="215">
        <v>42545</v>
      </c>
      <c r="B1263" s="216" t="s">
        <v>127</v>
      </c>
      <c r="C1263" s="203" t="s">
        <v>151</v>
      </c>
      <c r="D1263" s="270" t="s">
        <v>181</v>
      </c>
      <c r="E1263" s="68">
        <v>351215</v>
      </c>
      <c r="F1263" s="217"/>
      <c r="G1263" s="241">
        <v>22.95</v>
      </c>
      <c r="H1263" s="203">
        <v>2100556</v>
      </c>
      <c r="J1263" s="273" t="s">
        <v>246</v>
      </c>
    </row>
    <row r="1264" spans="1:10" s="203" customFormat="1" x14ac:dyDescent="0.2">
      <c r="A1264" s="215">
        <v>42545</v>
      </c>
      <c r="B1264" s="216" t="s">
        <v>127</v>
      </c>
      <c r="C1264" s="203" t="s">
        <v>151</v>
      </c>
      <c r="D1264" s="270" t="s">
        <v>181</v>
      </c>
      <c r="E1264" s="68">
        <v>351215</v>
      </c>
      <c r="F1264" s="217"/>
      <c r="G1264" s="241">
        <v>40</v>
      </c>
      <c r="H1264" s="203">
        <v>2100628</v>
      </c>
      <c r="J1264" s="273" t="s">
        <v>246</v>
      </c>
    </row>
    <row r="1265" spans="1:10" s="203" customFormat="1" x14ac:dyDescent="0.2">
      <c r="A1265" s="215">
        <v>42545</v>
      </c>
      <c r="B1265" s="216" t="s">
        <v>127</v>
      </c>
      <c r="C1265" s="203" t="s">
        <v>151</v>
      </c>
      <c r="D1265" s="270" t="s">
        <v>181</v>
      </c>
      <c r="E1265" s="68">
        <v>351215</v>
      </c>
      <c r="F1265" s="217"/>
      <c r="G1265" s="241">
        <v>113.69</v>
      </c>
      <c r="H1265" s="203">
        <v>2099088</v>
      </c>
      <c r="J1265" s="273" t="s">
        <v>246</v>
      </c>
    </row>
    <row r="1266" spans="1:10" s="203" customFormat="1" x14ac:dyDescent="0.2">
      <c r="A1266" s="215">
        <v>42545</v>
      </c>
      <c r="B1266" s="216" t="s">
        <v>127</v>
      </c>
      <c r="C1266" s="203" t="s">
        <v>151</v>
      </c>
      <c r="D1266" s="270" t="s">
        <v>181</v>
      </c>
      <c r="E1266" s="68">
        <v>351215</v>
      </c>
      <c r="F1266" s="217"/>
      <c r="G1266" s="241">
        <v>93.28</v>
      </c>
      <c r="H1266" s="203">
        <v>2100401</v>
      </c>
      <c r="J1266" s="273" t="s">
        <v>246</v>
      </c>
    </row>
    <row r="1267" spans="1:10" s="203" customFormat="1" x14ac:dyDescent="0.2">
      <c r="A1267" s="215">
        <v>42545</v>
      </c>
      <c r="B1267" s="216" t="s">
        <v>127</v>
      </c>
      <c r="C1267" s="203" t="s">
        <v>151</v>
      </c>
      <c r="D1267" s="270" t="s">
        <v>181</v>
      </c>
      <c r="E1267" s="68">
        <v>351215</v>
      </c>
      <c r="F1267" s="217"/>
      <c r="G1267" s="241">
        <v>43.95</v>
      </c>
      <c r="H1267" s="203">
        <v>2099466</v>
      </c>
      <c r="J1267" s="273" t="s">
        <v>246</v>
      </c>
    </row>
    <row r="1268" spans="1:10" s="203" customFormat="1" x14ac:dyDescent="0.2">
      <c r="A1268" s="215">
        <v>42545</v>
      </c>
      <c r="B1268" s="216" t="s">
        <v>127</v>
      </c>
      <c r="C1268" s="203" t="s">
        <v>151</v>
      </c>
      <c r="D1268" s="270" t="s">
        <v>181</v>
      </c>
      <c r="E1268" s="68">
        <v>351215</v>
      </c>
      <c r="F1268" s="217"/>
      <c r="G1268" s="241">
        <v>111.53</v>
      </c>
      <c r="H1268" s="203">
        <v>2098808</v>
      </c>
      <c r="J1268" s="273" t="s">
        <v>246</v>
      </c>
    </row>
    <row r="1269" spans="1:10" s="203" customFormat="1" x14ac:dyDescent="0.2">
      <c r="A1269" s="215">
        <v>42545</v>
      </c>
      <c r="B1269" s="216" t="s">
        <v>127</v>
      </c>
      <c r="C1269" s="203" t="s">
        <v>151</v>
      </c>
      <c r="D1269" s="270" t="s">
        <v>181</v>
      </c>
      <c r="E1269" s="68">
        <v>351215</v>
      </c>
      <c r="F1269" s="217"/>
      <c r="G1269" s="241">
        <v>41.73</v>
      </c>
      <c r="H1269" s="203">
        <v>2100227</v>
      </c>
      <c r="J1269" s="273" t="s">
        <v>246</v>
      </c>
    </row>
    <row r="1270" spans="1:10" s="203" customFormat="1" x14ac:dyDescent="0.2">
      <c r="A1270" s="215">
        <v>42545</v>
      </c>
      <c r="B1270" s="216" t="s">
        <v>127</v>
      </c>
      <c r="C1270" s="203" t="s">
        <v>151</v>
      </c>
      <c r="D1270" s="270" t="s">
        <v>181</v>
      </c>
      <c r="E1270" s="68">
        <v>351215</v>
      </c>
      <c r="F1270" s="217"/>
      <c r="G1270" s="241">
        <v>14.07</v>
      </c>
      <c r="H1270" s="203">
        <v>2100355</v>
      </c>
      <c r="J1270" s="273" t="s">
        <v>246</v>
      </c>
    </row>
    <row r="1271" spans="1:10" s="203" customFormat="1" x14ac:dyDescent="0.2">
      <c r="A1271" s="215">
        <v>42545</v>
      </c>
      <c r="B1271" s="216" t="s">
        <v>127</v>
      </c>
      <c r="C1271" s="203" t="s">
        <v>151</v>
      </c>
      <c r="D1271" s="270" t="s">
        <v>181</v>
      </c>
      <c r="E1271" s="68">
        <v>351215</v>
      </c>
      <c r="F1271" s="217"/>
      <c r="G1271" s="241">
        <v>180.36</v>
      </c>
      <c r="H1271" s="203">
        <v>2095496</v>
      </c>
      <c r="J1271" s="273" t="s">
        <v>246</v>
      </c>
    </row>
    <row r="1272" spans="1:10" s="203" customFormat="1" x14ac:dyDescent="0.2">
      <c r="A1272" s="215">
        <v>42545</v>
      </c>
      <c r="B1272" s="216" t="s">
        <v>127</v>
      </c>
      <c r="C1272" s="203" t="s">
        <v>151</v>
      </c>
      <c r="D1272" s="270" t="s">
        <v>181</v>
      </c>
      <c r="E1272" s="68">
        <v>351215</v>
      </c>
      <c r="F1272" s="217"/>
      <c r="G1272" s="241">
        <v>30.75</v>
      </c>
      <c r="H1272" s="203">
        <v>2092492</v>
      </c>
      <c r="J1272" s="273" t="s">
        <v>246</v>
      </c>
    </row>
    <row r="1273" spans="1:10" s="203" customFormat="1" x14ac:dyDescent="0.2">
      <c r="A1273" s="215">
        <v>42545</v>
      </c>
      <c r="B1273" s="216" t="s">
        <v>127</v>
      </c>
      <c r="C1273" s="203" t="s">
        <v>151</v>
      </c>
      <c r="D1273" s="270" t="s">
        <v>181</v>
      </c>
      <c r="E1273" s="68">
        <v>351215</v>
      </c>
      <c r="F1273" s="217"/>
      <c r="G1273" s="241">
        <v>24.95</v>
      </c>
      <c r="H1273" s="203">
        <v>2097930</v>
      </c>
      <c r="J1273" s="273" t="s">
        <v>246</v>
      </c>
    </row>
    <row r="1274" spans="1:10" s="203" customFormat="1" x14ac:dyDescent="0.2">
      <c r="A1274" s="215">
        <v>42545</v>
      </c>
      <c r="B1274" s="216" t="s">
        <v>127</v>
      </c>
      <c r="C1274" s="203" t="s">
        <v>151</v>
      </c>
      <c r="D1274" s="270" t="s">
        <v>181</v>
      </c>
      <c r="E1274" s="68">
        <v>351215</v>
      </c>
      <c r="F1274" s="217"/>
      <c r="G1274" s="241">
        <v>148.72999999999999</v>
      </c>
      <c r="H1274" s="203">
        <v>2099697</v>
      </c>
      <c r="J1274" s="273" t="s">
        <v>246</v>
      </c>
    </row>
    <row r="1275" spans="1:10" s="203" customFormat="1" x14ac:dyDescent="0.2">
      <c r="A1275" s="215">
        <v>42545</v>
      </c>
      <c r="B1275" s="216" t="s">
        <v>127</v>
      </c>
      <c r="C1275" s="203" t="s">
        <v>151</v>
      </c>
      <c r="D1275" s="270" t="s">
        <v>181</v>
      </c>
      <c r="E1275" s="68">
        <v>351215</v>
      </c>
      <c r="F1275" s="217"/>
      <c r="G1275" s="241">
        <v>53</v>
      </c>
      <c r="H1275" s="203">
        <v>2100687</v>
      </c>
      <c r="J1275" s="273" t="s">
        <v>246</v>
      </c>
    </row>
    <row r="1276" spans="1:10" s="203" customFormat="1" x14ac:dyDescent="0.2">
      <c r="A1276" s="215">
        <v>42545</v>
      </c>
      <c r="B1276" s="216" t="s">
        <v>127</v>
      </c>
      <c r="C1276" s="203" t="s">
        <v>151</v>
      </c>
      <c r="D1276" s="270" t="s">
        <v>181</v>
      </c>
      <c r="E1276" s="68">
        <v>351215</v>
      </c>
      <c r="F1276" s="217"/>
      <c r="G1276" s="241">
        <v>173.35</v>
      </c>
      <c r="H1276" s="203">
        <v>2101402</v>
      </c>
      <c r="J1276" s="273" t="s">
        <v>246</v>
      </c>
    </row>
    <row r="1277" spans="1:10" s="203" customFormat="1" x14ac:dyDescent="0.2">
      <c r="A1277" s="215">
        <v>42545</v>
      </c>
      <c r="B1277" s="216" t="s">
        <v>127</v>
      </c>
      <c r="C1277" s="203" t="s">
        <v>151</v>
      </c>
      <c r="D1277" s="270" t="s">
        <v>181</v>
      </c>
      <c r="E1277" s="68">
        <v>351215</v>
      </c>
      <c r="F1277" s="217"/>
      <c r="G1277" s="241">
        <v>112.5</v>
      </c>
      <c r="H1277" s="203">
        <v>2099547</v>
      </c>
      <c r="J1277" s="273" t="s">
        <v>246</v>
      </c>
    </row>
    <row r="1278" spans="1:10" s="203" customFormat="1" x14ac:dyDescent="0.2">
      <c r="A1278" s="215">
        <v>42545</v>
      </c>
      <c r="B1278" s="216" t="s">
        <v>127</v>
      </c>
      <c r="C1278" s="203" t="s">
        <v>151</v>
      </c>
      <c r="D1278" s="270" t="s">
        <v>181</v>
      </c>
      <c r="E1278" s="68">
        <v>351215</v>
      </c>
      <c r="F1278" s="217"/>
      <c r="G1278" s="241">
        <v>68.900000000000006</v>
      </c>
      <c r="H1278" s="203">
        <v>2099227</v>
      </c>
      <c r="J1278" s="273" t="s">
        <v>246</v>
      </c>
    </row>
    <row r="1279" spans="1:10" s="203" customFormat="1" x14ac:dyDescent="0.2">
      <c r="A1279" s="215">
        <v>42545</v>
      </c>
      <c r="B1279" s="216" t="s">
        <v>127</v>
      </c>
      <c r="C1279" s="203" t="s">
        <v>151</v>
      </c>
      <c r="D1279" s="270" t="s">
        <v>181</v>
      </c>
      <c r="E1279" s="68">
        <v>351215</v>
      </c>
      <c r="F1279" s="217"/>
      <c r="G1279" s="241">
        <v>70.2</v>
      </c>
      <c r="H1279" s="203">
        <v>2098776</v>
      </c>
      <c r="J1279" s="273" t="s">
        <v>246</v>
      </c>
    </row>
    <row r="1280" spans="1:10" s="203" customFormat="1" x14ac:dyDescent="0.2">
      <c r="A1280" s="215">
        <v>42545</v>
      </c>
      <c r="B1280" s="216" t="s">
        <v>127</v>
      </c>
      <c r="C1280" s="203" t="s">
        <v>151</v>
      </c>
      <c r="D1280" s="270" t="s">
        <v>181</v>
      </c>
      <c r="E1280" s="68">
        <v>351215</v>
      </c>
      <c r="F1280" s="217"/>
      <c r="G1280" s="241">
        <v>143.1</v>
      </c>
      <c r="H1280" s="203">
        <v>2100664</v>
      </c>
      <c r="J1280" s="273" t="s">
        <v>246</v>
      </c>
    </row>
    <row r="1281" spans="1:10" s="203" customFormat="1" x14ac:dyDescent="0.2">
      <c r="A1281" s="215">
        <v>42545</v>
      </c>
      <c r="B1281" s="216" t="s">
        <v>127</v>
      </c>
      <c r="C1281" s="203" t="s">
        <v>151</v>
      </c>
      <c r="D1281" s="270" t="s">
        <v>181</v>
      </c>
      <c r="E1281" s="68">
        <v>351215</v>
      </c>
      <c r="F1281" s="217"/>
      <c r="G1281" s="241">
        <v>67.569999999999993</v>
      </c>
      <c r="H1281" s="203">
        <v>2099586</v>
      </c>
      <c r="J1281" s="273" t="s">
        <v>246</v>
      </c>
    </row>
    <row r="1282" spans="1:10" s="203" customFormat="1" x14ac:dyDescent="0.2">
      <c r="A1282" s="215">
        <v>42545</v>
      </c>
      <c r="B1282" s="216" t="s">
        <v>127</v>
      </c>
      <c r="C1282" s="203" t="s">
        <v>151</v>
      </c>
      <c r="D1282" s="270" t="s">
        <v>181</v>
      </c>
      <c r="E1282" s="68">
        <v>351215</v>
      </c>
      <c r="F1282" s="217"/>
      <c r="G1282" s="241">
        <v>169.51</v>
      </c>
      <c r="H1282" s="203">
        <v>2098772</v>
      </c>
      <c r="J1282" s="273" t="s">
        <v>246</v>
      </c>
    </row>
    <row r="1283" spans="1:10" x14ac:dyDescent="0.2">
      <c r="A1283" s="213">
        <v>42547.17560185185</v>
      </c>
      <c r="B1283" s="115" t="s">
        <v>127</v>
      </c>
      <c r="D1283" s="175" t="s">
        <v>181</v>
      </c>
      <c r="E1283" s="113">
        <v>351215</v>
      </c>
      <c r="F1283" s="121"/>
      <c r="G1283" s="225">
        <v>94.95</v>
      </c>
      <c r="H1283" s="117">
        <v>2101734</v>
      </c>
      <c r="J1283" s="178" t="s">
        <v>435</v>
      </c>
    </row>
    <row r="1284" spans="1:10" x14ac:dyDescent="0.2">
      <c r="A1284" s="213">
        <v>42548.071099537039</v>
      </c>
      <c r="B1284" s="115" t="s">
        <v>127</v>
      </c>
      <c r="D1284" s="175" t="s">
        <v>181</v>
      </c>
      <c r="E1284" s="113">
        <v>351215</v>
      </c>
      <c r="F1284" s="121"/>
      <c r="G1284" s="225">
        <v>61.48</v>
      </c>
      <c r="H1284" s="117">
        <v>2105704</v>
      </c>
      <c r="J1284" s="178" t="s">
        <v>435</v>
      </c>
    </row>
    <row r="1285" spans="1:10" x14ac:dyDescent="0.2">
      <c r="A1285" s="213">
        <v>42548.109201388892</v>
      </c>
      <c r="B1285" s="115" t="s">
        <v>127</v>
      </c>
      <c r="D1285" s="175" t="s">
        <v>181</v>
      </c>
      <c r="E1285" s="113">
        <v>351215</v>
      </c>
      <c r="F1285" s="121"/>
      <c r="G1285" s="225">
        <v>129.22</v>
      </c>
      <c r="H1285" s="117">
        <v>2105572</v>
      </c>
      <c r="J1285" s="178" t="s">
        <v>435</v>
      </c>
    </row>
    <row r="1286" spans="1:10" x14ac:dyDescent="0.2">
      <c r="A1286" s="213">
        <v>42548.159467592595</v>
      </c>
      <c r="B1286" s="115" t="s">
        <v>127</v>
      </c>
      <c r="D1286" s="175" t="s">
        <v>181</v>
      </c>
      <c r="E1286" s="113">
        <v>351215</v>
      </c>
      <c r="F1286" s="121"/>
      <c r="G1286" s="225">
        <v>93.28</v>
      </c>
      <c r="H1286" s="117">
        <v>2105127</v>
      </c>
      <c r="J1286" s="178" t="s">
        <v>435</v>
      </c>
    </row>
    <row r="1287" spans="1:10" x14ac:dyDescent="0.2">
      <c r="A1287" s="213">
        <v>42548.165266203701</v>
      </c>
      <c r="B1287" s="115" t="s">
        <v>127</v>
      </c>
      <c r="D1287" s="175" t="s">
        <v>181</v>
      </c>
      <c r="E1287" s="113">
        <v>351215</v>
      </c>
      <c r="F1287" s="121"/>
      <c r="G1287" s="225">
        <v>128.4</v>
      </c>
      <c r="H1287" s="117">
        <v>2105410</v>
      </c>
      <c r="J1287" s="178" t="s">
        <v>435</v>
      </c>
    </row>
    <row r="1288" spans="1:10" x14ac:dyDescent="0.2">
      <c r="A1288" s="213">
        <v>42548.458784722221</v>
      </c>
      <c r="B1288" s="115" t="s">
        <v>127</v>
      </c>
      <c r="D1288" s="175" t="s">
        <v>181</v>
      </c>
      <c r="E1288" s="113">
        <v>351215</v>
      </c>
      <c r="F1288" s="121"/>
      <c r="G1288" s="225">
        <v>94</v>
      </c>
      <c r="H1288" s="117">
        <v>2105632</v>
      </c>
      <c r="J1288" s="178" t="s">
        <v>435</v>
      </c>
    </row>
    <row r="1289" spans="1:10" x14ac:dyDescent="0.2">
      <c r="A1289" s="213">
        <v>42549.167361111111</v>
      </c>
      <c r="B1289" s="115" t="s">
        <v>127</v>
      </c>
      <c r="D1289" s="175" t="s">
        <v>181</v>
      </c>
      <c r="E1289" s="113">
        <v>351215</v>
      </c>
      <c r="F1289" s="121"/>
      <c r="G1289" s="225">
        <v>111.28</v>
      </c>
      <c r="H1289" s="117">
        <v>2111300</v>
      </c>
      <c r="J1289" s="178" t="s">
        <v>435</v>
      </c>
    </row>
    <row r="1290" spans="1:10" x14ac:dyDescent="0.2">
      <c r="A1290" s="213">
        <v>42549.239351851851</v>
      </c>
      <c r="B1290" s="115" t="s">
        <v>127</v>
      </c>
      <c r="D1290" s="175" t="s">
        <v>181</v>
      </c>
      <c r="E1290" s="113">
        <v>351215</v>
      </c>
      <c r="F1290" s="121"/>
      <c r="G1290" s="225">
        <v>57.24</v>
      </c>
      <c r="H1290" s="117">
        <v>2109098</v>
      </c>
      <c r="J1290" s="178" t="s">
        <v>435</v>
      </c>
    </row>
    <row r="1291" spans="1:10" x14ac:dyDescent="0.2">
      <c r="A1291" s="213">
        <v>42550.045844907407</v>
      </c>
      <c r="B1291" s="115" t="s">
        <v>127</v>
      </c>
      <c r="D1291" s="175" t="s">
        <v>181</v>
      </c>
      <c r="E1291" s="113">
        <v>351215</v>
      </c>
      <c r="F1291" s="121"/>
      <c r="G1291" s="225">
        <v>70.2</v>
      </c>
      <c r="H1291" s="117">
        <v>2107797</v>
      </c>
      <c r="J1291" s="178" t="s">
        <v>435</v>
      </c>
    </row>
    <row r="1292" spans="1:10" x14ac:dyDescent="0.2">
      <c r="A1292" s="213">
        <v>42550.252754629626</v>
      </c>
      <c r="B1292" s="115" t="s">
        <v>127</v>
      </c>
      <c r="D1292" s="175" t="s">
        <v>181</v>
      </c>
      <c r="E1292" s="113">
        <v>351215</v>
      </c>
      <c r="F1292" s="121"/>
      <c r="G1292" s="225">
        <v>172.12</v>
      </c>
      <c r="H1292" s="117">
        <v>2113640</v>
      </c>
      <c r="J1292" s="178" t="s">
        <v>435</v>
      </c>
    </row>
    <row r="1293" spans="1:10" x14ac:dyDescent="0.2">
      <c r="A1293" s="213">
        <v>42550.510578703703</v>
      </c>
      <c r="B1293" s="115" t="s">
        <v>127</v>
      </c>
      <c r="D1293" s="175" t="s">
        <v>181</v>
      </c>
      <c r="E1293" s="113">
        <v>351215</v>
      </c>
      <c r="F1293" s="121"/>
      <c r="G1293" s="225">
        <v>48</v>
      </c>
      <c r="H1293" s="117">
        <v>2110840</v>
      </c>
      <c r="J1293" s="178" t="s">
        <v>435</v>
      </c>
    </row>
    <row r="1294" spans="1:10" x14ac:dyDescent="0.2">
      <c r="A1294" s="119" t="s">
        <v>261</v>
      </c>
      <c r="B1294" s="115" t="s">
        <v>0</v>
      </c>
      <c r="D1294" s="175">
        <v>376256613997</v>
      </c>
      <c r="F1294" s="121" t="s">
        <v>1560</v>
      </c>
      <c r="G1294" s="225">
        <v>177.15</v>
      </c>
      <c r="J1294" s="178" t="s">
        <v>93</v>
      </c>
    </row>
    <row r="1295" spans="1:10" x14ac:dyDescent="0.2">
      <c r="A1295" s="119" t="s">
        <v>261</v>
      </c>
      <c r="B1295" s="115" t="s">
        <v>0</v>
      </c>
      <c r="D1295" s="175">
        <v>376265686992</v>
      </c>
      <c r="F1295" s="121" t="s">
        <v>1561</v>
      </c>
      <c r="G1295" s="225">
        <v>65.41</v>
      </c>
      <c r="J1295" s="178" t="s">
        <v>93</v>
      </c>
    </row>
    <row r="1296" spans="1:10" x14ac:dyDescent="0.2">
      <c r="A1296" s="119" t="s">
        <v>261</v>
      </c>
      <c r="B1296" s="115" t="s">
        <v>0</v>
      </c>
      <c r="D1296" s="175" t="s">
        <v>91</v>
      </c>
      <c r="F1296" s="121" t="s">
        <v>92</v>
      </c>
      <c r="G1296" s="225">
        <v>108.71</v>
      </c>
      <c r="J1296" s="178" t="s">
        <v>93</v>
      </c>
    </row>
    <row r="1297" spans="1:10" x14ac:dyDescent="0.2">
      <c r="A1297" s="119" t="s">
        <v>261</v>
      </c>
      <c r="B1297" s="115" t="s">
        <v>0</v>
      </c>
      <c r="D1297" s="175" t="s">
        <v>94</v>
      </c>
      <c r="F1297" s="121" t="s">
        <v>1562</v>
      </c>
      <c r="G1297" s="225">
        <v>73.930000000000007</v>
      </c>
      <c r="J1297" s="178" t="s">
        <v>93</v>
      </c>
    </row>
    <row r="1298" spans="1:10" x14ac:dyDescent="0.2">
      <c r="A1298" s="119" t="s">
        <v>261</v>
      </c>
      <c r="B1298" s="115" t="s">
        <v>0</v>
      </c>
      <c r="D1298" s="175" t="s">
        <v>96</v>
      </c>
      <c r="F1298" s="121" t="s">
        <v>97</v>
      </c>
      <c r="G1298" s="225">
        <v>26.13</v>
      </c>
      <c r="J1298" s="178" t="s">
        <v>93</v>
      </c>
    </row>
    <row r="1299" spans="1:10" x14ac:dyDescent="0.2">
      <c r="A1299" s="119" t="s">
        <v>261</v>
      </c>
      <c r="B1299" s="115" t="s">
        <v>0</v>
      </c>
      <c r="D1299" s="175" t="s">
        <v>98</v>
      </c>
      <c r="F1299" s="121" t="s">
        <v>99</v>
      </c>
      <c r="G1299" s="225">
        <v>67.959999999999994</v>
      </c>
      <c r="J1299" s="178" t="s">
        <v>93</v>
      </c>
    </row>
    <row r="1300" spans="1:10" x14ac:dyDescent="0.2">
      <c r="A1300" s="119" t="s">
        <v>261</v>
      </c>
      <c r="B1300" s="115" t="s">
        <v>0</v>
      </c>
      <c r="D1300" s="175" t="s">
        <v>100</v>
      </c>
      <c r="F1300" s="121" t="s">
        <v>101</v>
      </c>
      <c r="G1300" s="225">
        <v>65.41</v>
      </c>
      <c r="J1300" s="178" t="s">
        <v>93</v>
      </c>
    </row>
    <row r="1301" spans="1:10" x14ac:dyDescent="0.2">
      <c r="A1301" s="119" t="s">
        <v>261</v>
      </c>
      <c r="B1301" s="115" t="s">
        <v>0</v>
      </c>
      <c r="D1301" s="175" t="s">
        <v>102</v>
      </c>
      <c r="F1301" s="121" t="s">
        <v>103</v>
      </c>
      <c r="G1301" s="225">
        <v>58.26</v>
      </c>
      <c r="J1301" s="178" t="s">
        <v>93</v>
      </c>
    </row>
    <row r="1302" spans="1:10" x14ac:dyDescent="0.2">
      <c r="A1302" s="119" t="s">
        <v>261</v>
      </c>
      <c r="B1302" s="115" t="s">
        <v>0</v>
      </c>
      <c r="D1302" s="175" t="s">
        <v>83</v>
      </c>
      <c r="F1302" s="121"/>
      <c r="G1302" s="225">
        <v>58.75</v>
      </c>
      <c r="J1302" s="178" t="s">
        <v>93</v>
      </c>
    </row>
    <row r="1303" spans="1:10" x14ac:dyDescent="0.2">
      <c r="A1303" s="119" t="s">
        <v>261</v>
      </c>
      <c r="B1303" s="115" t="s">
        <v>0</v>
      </c>
      <c r="D1303" s="175" t="s">
        <v>104</v>
      </c>
      <c r="F1303" s="121" t="s">
        <v>105</v>
      </c>
      <c r="G1303" s="225">
        <v>41.61</v>
      </c>
      <c r="J1303" s="178" t="s">
        <v>93</v>
      </c>
    </row>
    <row r="1304" spans="1:10" x14ac:dyDescent="0.2">
      <c r="A1304" s="119" t="s">
        <v>261</v>
      </c>
      <c r="B1304" s="115" t="s">
        <v>0</v>
      </c>
      <c r="D1304" s="175" t="s">
        <v>106</v>
      </c>
      <c r="F1304" s="121" t="s">
        <v>107</v>
      </c>
      <c r="G1304" s="225">
        <v>149.75</v>
      </c>
      <c r="J1304" s="178" t="s">
        <v>93</v>
      </c>
    </row>
    <row r="1305" spans="1:10" x14ac:dyDescent="0.2">
      <c r="A1305" s="119" t="s">
        <v>261</v>
      </c>
      <c r="B1305" s="115" t="s">
        <v>0</v>
      </c>
      <c r="D1305" s="175" t="s">
        <v>108</v>
      </c>
      <c r="F1305" s="121" t="s">
        <v>109</v>
      </c>
      <c r="G1305" s="225">
        <v>35.18</v>
      </c>
      <c r="J1305" s="178" t="s">
        <v>93</v>
      </c>
    </row>
    <row r="1306" spans="1:10" x14ac:dyDescent="0.2">
      <c r="A1306" s="119" t="s">
        <v>261</v>
      </c>
      <c r="B1306" s="115" t="s">
        <v>0</v>
      </c>
      <c r="D1306" s="175" t="s">
        <v>68</v>
      </c>
      <c r="F1306" s="121"/>
      <c r="G1306" s="225">
        <v>34.9</v>
      </c>
      <c r="J1306" s="178" t="s">
        <v>93</v>
      </c>
    </row>
    <row r="1307" spans="1:10" x14ac:dyDescent="0.2">
      <c r="A1307" s="119" t="s">
        <v>261</v>
      </c>
      <c r="B1307" s="115" t="s">
        <v>0</v>
      </c>
      <c r="D1307" s="175" t="s">
        <v>110</v>
      </c>
      <c r="F1307" s="121" t="s">
        <v>1563</v>
      </c>
      <c r="G1307" s="225">
        <v>37.36</v>
      </c>
      <c r="J1307" s="178" t="s">
        <v>93</v>
      </c>
    </row>
    <row r="1308" spans="1:10" s="203" customFormat="1" x14ac:dyDescent="0.2">
      <c r="A1308" s="221" t="s">
        <v>261</v>
      </c>
      <c r="B1308" s="216" t="s">
        <v>0</v>
      </c>
      <c r="C1308" s="203" t="s">
        <v>209</v>
      </c>
      <c r="D1308" s="270" t="s">
        <v>1551</v>
      </c>
      <c r="E1308" s="68"/>
      <c r="F1308" s="217"/>
      <c r="G1308" s="241">
        <v>392.7</v>
      </c>
      <c r="J1308" s="273" t="s">
        <v>246</v>
      </c>
    </row>
    <row r="1309" spans="1:10" x14ac:dyDescent="0.2">
      <c r="A1309" s="119" t="s">
        <v>261</v>
      </c>
      <c r="B1309" s="115" t="s">
        <v>0</v>
      </c>
      <c r="D1309" s="175" t="s">
        <v>112</v>
      </c>
      <c r="F1309" s="121"/>
      <c r="G1309" s="225">
        <v>43.14</v>
      </c>
      <c r="J1309" s="178" t="s">
        <v>81</v>
      </c>
    </row>
    <row r="1310" spans="1:10" s="203" customFormat="1" x14ac:dyDescent="0.2">
      <c r="A1310" s="221" t="s">
        <v>261</v>
      </c>
      <c r="B1310" s="216" t="s">
        <v>0</v>
      </c>
      <c r="C1310" s="203" t="s">
        <v>209</v>
      </c>
      <c r="D1310" s="270" t="s">
        <v>1564</v>
      </c>
      <c r="E1310" s="68"/>
      <c r="F1310" s="217"/>
      <c r="G1310" s="241">
        <v>155.94</v>
      </c>
      <c r="J1310" s="273" t="s">
        <v>246</v>
      </c>
    </row>
    <row r="1311" spans="1:10" s="203" customFormat="1" x14ac:dyDescent="0.2">
      <c r="A1311" s="221" t="s">
        <v>261</v>
      </c>
      <c r="B1311" s="216" t="s">
        <v>0</v>
      </c>
      <c r="C1311" s="203" t="s">
        <v>209</v>
      </c>
      <c r="D1311" s="270" t="s">
        <v>1565</v>
      </c>
      <c r="E1311" s="68"/>
      <c r="F1311" s="217"/>
      <c r="G1311" s="241">
        <v>85.5</v>
      </c>
      <c r="J1311" s="273" t="s">
        <v>246</v>
      </c>
    </row>
    <row r="1312" spans="1:10" x14ac:dyDescent="0.2">
      <c r="A1312" s="119" t="s">
        <v>261</v>
      </c>
      <c r="B1312" s="115" t="s">
        <v>0</v>
      </c>
      <c r="D1312" s="175" t="s">
        <v>241</v>
      </c>
      <c r="F1312" s="121"/>
      <c r="G1312" s="122">
        <v>148.26</v>
      </c>
      <c r="J1312" s="178" t="s">
        <v>81</v>
      </c>
    </row>
    <row r="1313" spans="1:10" x14ac:dyDescent="0.2">
      <c r="A1313" s="213">
        <v>42554</v>
      </c>
      <c r="B1313" s="115" t="s">
        <v>127</v>
      </c>
      <c r="D1313" s="175" t="s">
        <v>1566</v>
      </c>
      <c r="E1313" s="113">
        <v>351775</v>
      </c>
      <c r="F1313" s="121"/>
      <c r="G1313" s="122">
        <v>32.04</v>
      </c>
      <c r="H1313" s="117">
        <v>2122811</v>
      </c>
      <c r="J1313" s="178" t="s">
        <v>1567</v>
      </c>
    </row>
    <row r="1314" spans="1:10" x14ac:dyDescent="0.2">
      <c r="A1314" s="213">
        <v>42558</v>
      </c>
      <c r="B1314" s="115" t="s">
        <v>127</v>
      </c>
      <c r="D1314" s="175" t="s">
        <v>1566</v>
      </c>
      <c r="E1314" s="113">
        <v>351775</v>
      </c>
      <c r="F1314" s="121"/>
      <c r="G1314" s="122">
        <v>149.9</v>
      </c>
      <c r="H1314" s="117">
        <v>2133274</v>
      </c>
      <c r="J1314" s="178" t="s">
        <v>1567</v>
      </c>
    </row>
    <row r="1315" spans="1:10" x14ac:dyDescent="0.2">
      <c r="A1315" s="213">
        <v>42558</v>
      </c>
      <c r="B1315" s="115" t="s">
        <v>127</v>
      </c>
      <c r="D1315" s="175" t="s">
        <v>1566</v>
      </c>
      <c r="E1315" s="113">
        <v>351775</v>
      </c>
      <c r="F1315" s="121"/>
      <c r="G1315" s="122">
        <v>94.9</v>
      </c>
      <c r="H1315" s="117">
        <v>2130111</v>
      </c>
      <c r="J1315" s="178" t="s">
        <v>1567</v>
      </c>
    </row>
    <row r="1316" spans="1:10" x14ac:dyDescent="0.2">
      <c r="A1316" s="213">
        <v>42558</v>
      </c>
      <c r="B1316" s="115" t="s">
        <v>127</v>
      </c>
      <c r="D1316" s="175" t="s">
        <v>1568</v>
      </c>
      <c r="E1316" s="113">
        <v>201228</v>
      </c>
      <c r="F1316" s="121"/>
      <c r="G1316" s="122">
        <v>51.9</v>
      </c>
      <c r="H1316" s="117">
        <v>2135110</v>
      </c>
      <c r="J1316" s="178" t="s">
        <v>1567</v>
      </c>
    </row>
    <row r="1317" spans="1:10" x14ac:dyDescent="0.2">
      <c r="A1317" s="213">
        <v>42558</v>
      </c>
      <c r="B1317" s="115" t="s">
        <v>127</v>
      </c>
      <c r="D1317" s="175" t="s">
        <v>1568</v>
      </c>
      <c r="E1317" s="113">
        <v>201228</v>
      </c>
      <c r="F1317" s="121"/>
      <c r="G1317" s="122">
        <v>59.9</v>
      </c>
      <c r="H1317" s="117">
        <v>2135119</v>
      </c>
      <c r="J1317" s="178" t="s">
        <v>1567</v>
      </c>
    </row>
    <row r="1318" spans="1:10" x14ac:dyDescent="0.2">
      <c r="A1318" s="213">
        <v>42557</v>
      </c>
      <c r="B1318" s="115" t="s">
        <v>127</v>
      </c>
      <c r="D1318" s="175" t="s">
        <v>286</v>
      </c>
      <c r="E1318" s="113">
        <v>350330</v>
      </c>
      <c r="F1318" s="121"/>
      <c r="G1318" s="122">
        <v>53.45</v>
      </c>
      <c r="H1318" s="117">
        <v>2000000</v>
      </c>
      <c r="J1318" s="178" t="s">
        <v>1569</v>
      </c>
    </row>
    <row r="1319" spans="1:10" x14ac:dyDescent="0.2">
      <c r="A1319" s="213">
        <v>42554.186099537037</v>
      </c>
      <c r="B1319" s="115" t="s">
        <v>127</v>
      </c>
      <c r="D1319" s="175" t="s">
        <v>181</v>
      </c>
      <c r="E1319" s="113">
        <v>351215</v>
      </c>
      <c r="F1319" s="121"/>
      <c r="G1319" s="122">
        <v>124.95</v>
      </c>
      <c r="H1319" s="117">
        <v>2122485</v>
      </c>
      <c r="J1319" s="178" t="s">
        <v>435</v>
      </c>
    </row>
    <row r="1320" spans="1:10" x14ac:dyDescent="0.2">
      <c r="A1320" s="213">
        <v>42554.209918981483</v>
      </c>
      <c r="B1320" s="115" t="s">
        <v>127</v>
      </c>
      <c r="D1320" s="175" t="s">
        <v>181</v>
      </c>
      <c r="E1320" s="113">
        <v>351215</v>
      </c>
      <c r="F1320" s="121"/>
      <c r="G1320" s="122">
        <v>95.92</v>
      </c>
      <c r="H1320" s="117">
        <v>2123357</v>
      </c>
      <c r="J1320" s="178" t="s">
        <v>435</v>
      </c>
    </row>
    <row r="1321" spans="1:10" x14ac:dyDescent="0.2">
      <c r="A1321" s="213">
        <v>42556.381458333337</v>
      </c>
      <c r="B1321" s="115" t="s">
        <v>127</v>
      </c>
      <c r="D1321" s="175" t="s">
        <v>181</v>
      </c>
      <c r="E1321" s="113">
        <v>351215</v>
      </c>
      <c r="F1321" s="121"/>
      <c r="G1321" s="122">
        <v>296.48</v>
      </c>
      <c r="H1321" s="117">
        <v>2125871</v>
      </c>
      <c r="J1321" s="178" t="s">
        <v>435</v>
      </c>
    </row>
    <row r="1322" spans="1:10" x14ac:dyDescent="0.2">
      <c r="A1322" s="213">
        <v>42556.528032407405</v>
      </c>
      <c r="B1322" s="115" t="s">
        <v>127</v>
      </c>
      <c r="D1322" s="175" t="s">
        <v>181</v>
      </c>
      <c r="E1322" s="113">
        <v>351215</v>
      </c>
      <c r="F1322" s="121"/>
      <c r="G1322" s="122">
        <v>68.680000000000007</v>
      </c>
      <c r="H1322" s="117">
        <v>2122371</v>
      </c>
      <c r="J1322" s="178" t="s">
        <v>435</v>
      </c>
    </row>
    <row r="1323" spans="1:10" x14ac:dyDescent="0.2">
      <c r="A1323" s="213">
        <v>42557.047152777777</v>
      </c>
      <c r="B1323" s="115" t="s">
        <v>127</v>
      </c>
      <c r="D1323" s="175" t="s">
        <v>181</v>
      </c>
      <c r="E1323" s="113">
        <v>351215</v>
      </c>
      <c r="F1323" s="121"/>
      <c r="G1323" s="122">
        <v>115.29</v>
      </c>
      <c r="H1323" s="117">
        <v>2125662</v>
      </c>
      <c r="J1323" s="178" t="s">
        <v>435</v>
      </c>
    </row>
    <row r="1324" spans="1:10" x14ac:dyDescent="0.2">
      <c r="A1324" s="213">
        <v>42557.114560185182</v>
      </c>
      <c r="B1324" s="115" t="s">
        <v>127</v>
      </c>
      <c r="D1324" s="175" t="s">
        <v>181</v>
      </c>
      <c r="E1324" s="113">
        <v>351215</v>
      </c>
      <c r="F1324" s="121"/>
      <c r="G1324" s="122">
        <v>56.71</v>
      </c>
      <c r="H1324" s="117">
        <v>2128510</v>
      </c>
      <c r="J1324" s="178" t="s">
        <v>435</v>
      </c>
    </row>
    <row r="1325" spans="1:10" x14ac:dyDescent="0.2">
      <c r="A1325" s="213">
        <v>42558.047280092593</v>
      </c>
      <c r="B1325" s="115" t="s">
        <v>127</v>
      </c>
      <c r="D1325" s="175" t="s">
        <v>181</v>
      </c>
      <c r="E1325" s="113">
        <v>351215</v>
      </c>
      <c r="F1325" s="121"/>
      <c r="G1325" s="122">
        <v>28.96</v>
      </c>
      <c r="H1325" s="117">
        <v>2132767</v>
      </c>
      <c r="J1325" s="178" t="s">
        <v>435</v>
      </c>
    </row>
    <row r="1326" spans="1:10" x14ac:dyDescent="0.2">
      <c r="A1326" s="213">
        <v>42558.526805555557</v>
      </c>
      <c r="B1326" s="115" t="s">
        <v>127</v>
      </c>
      <c r="D1326" s="175" t="s">
        <v>181</v>
      </c>
      <c r="E1326" s="113">
        <v>351215</v>
      </c>
      <c r="F1326" s="121"/>
      <c r="G1326" s="122">
        <v>92</v>
      </c>
      <c r="H1326" s="117">
        <v>2027194</v>
      </c>
      <c r="J1326" s="178" t="s">
        <v>435</v>
      </c>
    </row>
    <row r="1327" spans="1:10" x14ac:dyDescent="0.2">
      <c r="A1327" s="213">
        <v>42559.408750000002</v>
      </c>
      <c r="B1327" s="115" t="s">
        <v>127</v>
      </c>
      <c r="D1327" s="175" t="s">
        <v>181</v>
      </c>
      <c r="E1327" s="113">
        <v>351215</v>
      </c>
      <c r="F1327" s="121"/>
      <c r="G1327" s="122">
        <v>96.8</v>
      </c>
      <c r="H1327" s="117">
        <v>2134383</v>
      </c>
      <c r="J1327" s="178" t="s">
        <v>435</v>
      </c>
    </row>
    <row r="1328" spans="1:10" x14ac:dyDescent="0.2">
      <c r="A1328" s="213">
        <v>42559.466504629629</v>
      </c>
      <c r="B1328" s="115" t="s">
        <v>127</v>
      </c>
      <c r="D1328" s="175" t="s">
        <v>181</v>
      </c>
      <c r="E1328" s="113">
        <v>351215</v>
      </c>
      <c r="F1328" s="121"/>
      <c r="G1328" s="122">
        <v>47.41</v>
      </c>
      <c r="H1328" s="117">
        <v>2137333</v>
      </c>
      <c r="J1328" s="178" t="s">
        <v>435</v>
      </c>
    </row>
    <row r="1329" spans="1:12" x14ac:dyDescent="0.2">
      <c r="A1329" s="213">
        <v>42562</v>
      </c>
      <c r="B1329" s="115" t="s">
        <v>127</v>
      </c>
      <c r="C1329" s="130"/>
      <c r="D1329" s="60">
        <v>376263652996</v>
      </c>
      <c r="E1329" s="113">
        <v>350330</v>
      </c>
      <c r="F1329" s="121"/>
      <c r="G1329" s="122">
        <f>14.94+79.11</f>
        <v>94.05</v>
      </c>
      <c r="H1329" s="131" t="s">
        <v>1570</v>
      </c>
      <c r="J1329" s="180" t="s">
        <v>1571</v>
      </c>
      <c r="K1329" s="181"/>
      <c r="L1329" s="181"/>
    </row>
    <row r="1330" spans="1:12" x14ac:dyDescent="0.2">
      <c r="A1330" s="213">
        <v>42562</v>
      </c>
      <c r="B1330" s="115" t="s">
        <v>127</v>
      </c>
      <c r="C1330" s="130"/>
      <c r="D1330" s="60">
        <v>376263652996</v>
      </c>
      <c r="E1330" s="113">
        <v>350330</v>
      </c>
      <c r="F1330" s="121"/>
      <c r="G1330" s="122">
        <f>9.01+47.65</f>
        <v>56.66</v>
      </c>
      <c r="H1330" s="131" t="s">
        <v>1572</v>
      </c>
      <c r="J1330" s="180" t="s">
        <v>1571</v>
      </c>
    </row>
    <row r="1331" spans="1:12" x14ac:dyDescent="0.2">
      <c r="A1331" s="213">
        <v>42562</v>
      </c>
      <c r="B1331" s="115" t="s">
        <v>127</v>
      </c>
      <c r="C1331" s="130"/>
      <c r="D1331" s="60">
        <v>376263652996</v>
      </c>
      <c r="E1331" s="113">
        <v>350330</v>
      </c>
      <c r="F1331" s="121"/>
      <c r="G1331" s="122">
        <f>25.51+49.34</f>
        <v>74.850000000000009</v>
      </c>
      <c r="H1331" s="131" t="s">
        <v>1573</v>
      </c>
      <c r="J1331" s="180" t="s">
        <v>1571</v>
      </c>
    </row>
    <row r="1332" spans="1:12" x14ac:dyDescent="0.2">
      <c r="A1332" s="213">
        <v>42563</v>
      </c>
      <c r="B1332" s="115" t="s">
        <v>127</v>
      </c>
      <c r="C1332" s="130"/>
      <c r="D1332" s="60">
        <v>376263652996</v>
      </c>
      <c r="E1332" s="113">
        <v>350330</v>
      </c>
      <c r="F1332" s="121"/>
      <c r="G1332" s="122">
        <f>31.36+70.24</f>
        <v>101.6</v>
      </c>
      <c r="H1332" s="131" t="s">
        <v>1574</v>
      </c>
      <c r="J1332" s="180" t="s">
        <v>1571</v>
      </c>
    </row>
    <row r="1333" spans="1:12" x14ac:dyDescent="0.2">
      <c r="A1333" s="213">
        <v>42564</v>
      </c>
      <c r="B1333" s="115" t="s">
        <v>127</v>
      </c>
      <c r="C1333" s="130"/>
      <c r="D1333" s="60">
        <v>376263652996</v>
      </c>
      <c r="E1333" s="113">
        <v>350330</v>
      </c>
      <c r="F1333" s="121"/>
      <c r="G1333" s="122">
        <f>12.55+56.95</f>
        <v>69.5</v>
      </c>
      <c r="H1333" s="131" t="s">
        <v>1575</v>
      </c>
      <c r="J1333" s="180" t="s">
        <v>1571</v>
      </c>
    </row>
    <row r="1334" spans="1:12" x14ac:dyDescent="0.2">
      <c r="A1334" s="213">
        <v>42566</v>
      </c>
      <c r="B1334" s="115" t="s">
        <v>127</v>
      </c>
      <c r="C1334" s="130"/>
      <c r="D1334" s="60">
        <v>376263652996</v>
      </c>
      <c r="E1334" s="113">
        <v>350330</v>
      </c>
      <c r="F1334" s="121"/>
      <c r="G1334" s="122">
        <f>11.5+72.98</f>
        <v>84.48</v>
      </c>
      <c r="H1334" s="131" t="s">
        <v>1576</v>
      </c>
      <c r="J1334" s="180" t="s">
        <v>1571</v>
      </c>
    </row>
    <row r="1335" spans="1:12" s="203" customFormat="1" x14ac:dyDescent="0.2">
      <c r="A1335" s="215">
        <v>42561</v>
      </c>
      <c r="B1335" s="216" t="s">
        <v>127</v>
      </c>
      <c r="C1335" s="203" t="s">
        <v>151</v>
      </c>
      <c r="D1335" s="59">
        <v>221224755993</v>
      </c>
      <c r="E1335" s="68">
        <v>351775</v>
      </c>
      <c r="F1335" s="217"/>
      <c r="G1335" s="218">
        <f>35.67+112.23</f>
        <v>147.9</v>
      </c>
      <c r="H1335" s="223" t="s">
        <v>1577</v>
      </c>
      <c r="J1335" s="279" t="s">
        <v>246</v>
      </c>
    </row>
    <row r="1336" spans="1:12" s="203" customFormat="1" x14ac:dyDescent="0.2">
      <c r="A1336" s="215">
        <v>42562</v>
      </c>
      <c r="B1336" s="216" t="s">
        <v>127</v>
      </c>
      <c r="C1336" s="203" t="s">
        <v>151</v>
      </c>
      <c r="D1336" s="59">
        <v>221224755993</v>
      </c>
      <c r="E1336" s="68">
        <v>351775</v>
      </c>
      <c r="F1336" s="217"/>
      <c r="G1336" s="218">
        <f>18.87+59.03</f>
        <v>77.900000000000006</v>
      </c>
      <c r="H1336" s="223" t="s">
        <v>1578</v>
      </c>
      <c r="J1336" s="279" t="s">
        <v>246</v>
      </c>
    </row>
    <row r="1337" spans="1:12" s="203" customFormat="1" x14ac:dyDescent="0.2">
      <c r="A1337" s="215">
        <v>42562</v>
      </c>
      <c r="B1337" s="216" t="s">
        <v>127</v>
      </c>
      <c r="C1337" s="203" t="s">
        <v>151</v>
      </c>
      <c r="D1337" s="59">
        <v>221224755993</v>
      </c>
      <c r="E1337" s="68">
        <v>351775</v>
      </c>
      <c r="F1337" s="217"/>
      <c r="G1337" s="218">
        <f>25.16+174.79</f>
        <v>199.95</v>
      </c>
      <c r="H1337" s="223" t="s">
        <v>1579</v>
      </c>
      <c r="J1337" s="279" t="s">
        <v>246</v>
      </c>
    </row>
    <row r="1338" spans="1:12" s="203" customFormat="1" x14ac:dyDescent="0.2">
      <c r="A1338" s="215">
        <v>42563</v>
      </c>
      <c r="B1338" s="216" t="s">
        <v>127</v>
      </c>
      <c r="C1338" s="203" t="s">
        <v>151</v>
      </c>
      <c r="D1338" s="59">
        <v>221224755993</v>
      </c>
      <c r="E1338" s="68">
        <v>351775</v>
      </c>
      <c r="F1338" s="217"/>
      <c r="G1338" s="218">
        <f>15.88+83.07</f>
        <v>98.949999999999989</v>
      </c>
      <c r="H1338" s="223" t="s">
        <v>1580</v>
      </c>
      <c r="J1338" s="279" t="s">
        <v>246</v>
      </c>
    </row>
    <row r="1339" spans="1:12" x14ac:dyDescent="0.2">
      <c r="A1339" s="213">
        <v>42561</v>
      </c>
      <c r="B1339" s="115" t="s">
        <v>127</v>
      </c>
      <c r="C1339" s="130"/>
      <c r="D1339" s="60">
        <v>376222835997</v>
      </c>
      <c r="E1339" s="113">
        <v>215711</v>
      </c>
      <c r="F1339" s="121"/>
      <c r="G1339" s="122">
        <f>4.01+34.94</f>
        <v>38.949999999999996</v>
      </c>
      <c r="H1339" s="131" t="s">
        <v>1581</v>
      </c>
      <c r="J1339" s="180" t="s">
        <v>1960</v>
      </c>
    </row>
    <row r="1340" spans="1:12" x14ac:dyDescent="0.2">
      <c r="A1340" s="213">
        <v>42562</v>
      </c>
      <c r="B1340" s="115" t="s">
        <v>127</v>
      </c>
      <c r="C1340" s="130"/>
      <c r="D1340" s="60">
        <v>376222835997</v>
      </c>
      <c r="E1340" s="113">
        <v>215711</v>
      </c>
      <c r="F1340" s="121"/>
      <c r="G1340" s="122">
        <f>13.59+79.26</f>
        <v>92.850000000000009</v>
      </c>
      <c r="H1340" s="131" t="s">
        <v>1582</v>
      </c>
      <c r="J1340" s="180" t="s">
        <v>1960</v>
      </c>
    </row>
    <row r="1341" spans="1:12" x14ac:dyDescent="0.2">
      <c r="A1341" s="213">
        <v>42565</v>
      </c>
      <c r="B1341" s="115" t="s">
        <v>127</v>
      </c>
      <c r="C1341" s="130"/>
      <c r="D1341" s="60">
        <v>376222835997</v>
      </c>
      <c r="E1341" s="113">
        <v>215711</v>
      </c>
      <c r="F1341" s="121"/>
      <c r="G1341" s="122">
        <f>10.21+38.74</f>
        <v>48.95</v>
      </c>
      <c r="H1341" s="131" t="s">
        <v>1583</v>
      </c>
      <c r="J1341" s="180" t="s">
        <v>1960</v>
      </c>
    </row>
    <row r="1342" spans="1:12" x14ac:dyDescent="0.2">
      <c r="A1342" s="213">
        <v>42566</v>
      </c>
      <c r="B1342" s="115" t="s">
        <v>127</v>
      </c>
      <c r="C1342" s="130"/>
      <c r="D1342" s="60">
        <v>376222835997</v>
      </c>
      <c r="E1342" s="113">
        <v>215711</v>
      </c>
      <c r="F1342" s="121"/>
      <c r="G1342" s="122">
        <f>17.44+49.61</f>
        <v>67.05</v>
      </c>
      <c r="H1342" s="131" t="s">
        <v>1584</v>
      </c>
      <c r="J1342" s="180" t="s">
        <v>1960</v>
      </c>
    </row>
    <row r="1343" spans="1:12" x14ac:dyDescent="0.2">
      <c r="A1343" s="213">
        <v>42565</v>
      </c>
      <c r="B1343" s="115" t="s">
        <v>127</v>
      </c>
      <c r="C1343" s="130"/>
      <c r="D1343" s="60">
        <v>376238825990</v>
      </c>
      <c r="E1343" s="113">
        <v>201228</v>
      </c>
      <c r="F1343" s="121"/>
      <c r="G1343" s="122">
        <v>35.75</v>
      </c>
      <c r="H1343" s="131" t="s">
        <v>1585</v>
      </c>
      <c r="J1343" s="180" t="s">
        <v>1960</v>
      </c>
    </row>
    <row r="1344" spans="1:12" x14ac:dyDescent="0.2">
      <c r="A1344" s="213">
        <v>42561</v>
      </c>
      <c r="B1344" s="115" t="s">
        <v>127</v>
      </c>
      <c r="C1344" s="130"/>
      <c r="D1344" s="60">
        <v>376270713997</v>
      </c>
      <c r="E1344" s="113">
        <v>351215</v>
      </c>
      <c r="F1344" s="121"/>
      <c r="G1344" s="122">
        <v>79.13</v>
      </c>
      <c r="H1344" s="131" t="s">
        <v>1586</v>
      </c>
      <c r="J1344" s="180" t="s">
        <v>1587</v>
      </c>
    </row>
    <row r="1345" spans="1:10" x14ac:dyDescent="0.2">
      <c r="A1345" s="213">
        <v>42561</v>
      </c>
      <c r="B1345" s="115" t="s">
        <v>127</v>
      </c>
      <c r="C1345" s="130"/>
      <c r="D1345" s="60">
        <v>376270713997</v>
      </c>
      <c r="E1345" s="113">
        <v>351215</v>
      </c>
      <c r="F1345" s="121"/>
      <c r="G1345" s="122">
        <v>77.38</v>
      </c>
      <c r="H1345" s="131" t="s">
        <v>1588</v>
      </c>
      <c r="J1345" s="180" t="s">
        <v>1587</v>
      </c>
    </row>
    <row r="1346" spans="1:10" x14ac:dyDescent="0.2">
      <c r="A1346" s="213">
        <v>42561</v>
      </c>
      <c r="B1346" s="115" t="s">
        <v>127</v>
      </c>
      <c r="C1346" s="130"/>
      <c r="D1346" s="60">
        <v>376270713997</v>
      </c>
      <c r="E1346" s="113">
        <v>351215</v>
      </c>
      <c r="F1346" s="121"/>
      <c r="G1346" s="122">
        <v>83.46</v>
      </c>
      <c r="H1346" s="131" t="s">
        <v>1589</v>
      </c>
      <c r="J1346" s="180" t="s">
        <v>1587</v>
      </c>
    </row>
    <row r="1347" spans="1:10" x14ac:dyDescent="0.2">
      <c r="A1347" s="213">
        <v>42562</v>
      </c>
      <c r="B1347" s="115" t="s">
        <v>127</v>
      </c>
      <c r="C1347" s="130"/>
      <c r="D1347" s="60">
        <v>376270713997</v>
      </c>
      <c r="E1347" s="113">
        <v>351215</v>
      </c>
      <c r="F1347" s="121"/>
      <c r="G1347" s="122">
        <v>143.1</v>
      </c>
      <c r="H1347" s="131" t="s">
        <v>1590</v>
      </c>
      <c r="J1347" s="180" t="s">
        <v>1587</v>
      </c>
    </row>
    <row r="1348" spans="1:10" x14ac:dyDescent="0.2">
      <c r="A1348" s="213">
        <v>42562</v>
      </c>
      <c r="B1348" s="115" t="s">
        <v>127</v>
      </c>
      <c r="C1348" s="130"/>
      <c r="D1348" s="60">
        <v>376270713997</v>
      </c>
      <c r="E1348" s="113">
        <v>351215</v>
      </c>
      <c r="F1348" s="121"/>
      <c r="G1348" s="122">
        <v>114</v>
      </c>
      <c r="H1348" s="131" t="s">
        <v>1591</v>
      </c>
      <c r="J1348" s="180" t="s">
        <v>1587</v>
      </c>
    </row>
    <row r="1349" spans="1:10" x14ac:dyDescent="0.2">
      <c r="A1349" s="213">
        <v>42562</v>
      </c>
      <c r="B1349" s="115" t="s">
        <v>127</v>
      </c>
      <c r="C1349" s="130"/>
      <c r="D1349" s="60">
        <v>376270713997</v>
      </c>
      <c r="E1349" s="113">
        <v>351215</v>
      </c>
      <c r="F1349" s="121"/>
      <c r="G1349" s="122">
        <v>89</v>
      </c>
      <c r="H1349" s="131" t="s">
        <v>1592</v>
      </c>
      <c r="J1349" s="180" t="s">
        <v>1587</v>
      </c>
    </row>
    <row r="1350" spans="1:10" x14ac:dyDescent="0.2">
      <c r="A1350" s="213">
        <v>42562</v>
      </c>
      <c r="B1350" s="115" t="s">
        <v>127</v>
      </c>
      <c r="C1350" s="130"/>
      <c r="D1350" s="60">
        <v>376270713997</v>
      </c>
      <c r="E1350" s="113">
        <v>351215</v>
      </c>
      <c r="F1350" s="121"/>
      <c r="G1350" s="122">
        <v>119.84</v>
      </c>
      <c r="H1350" s="131" t="s">
        <v>1593</v>
      </c>
      <c r="J1350" s="180" t="s">
        <v>1587</v>
      </c>
    </row>
    <row r="1351" spans="1:10" x14ac:dyDescent="0.2">
      <c r="A1351" s="213">
        <v>42562</v>
      </c>
      <c r="B1351" s="115" t="s">
        <v>127</v>
      </c>
      <c r="C1351" s="130"/>
      <c r="D1351" s="60">
        <v>376270713997</v>
      </c>
      <c r="E1351" s="113">
        <v>351215</v>
      </c>
      <c r="F1351" s="121"/>
      <c r="G1351" s="122">
        <v>113</v>
      </c>
      <c r="H1351" s="131" t="s">
        <v>1594</v>
      </c>
      <c r="J1351" s="180" t="s">
        <v>1587</v>
      </c>
    </row>
    <row r="1352" spans="1:10" x14ac:dyDescent="0.2">
      <c r="A1352" s="213">
        <v>42562</v>
      </c>
      <c r="B1352" s="115" t="s">
        <v>127</v>
      </c>
      <c r="C1352" s="130"/>
      <c r="D1352" s="60">
        <v>376270713997</v>
      </c>
      <c r="E1352" s="113">
        <v>351215</v>
      </c>
      <c r="F1352" s="121"/>
      <c r="G1352" s="122">
        <v>71.17</v>
      </c>
      <c r="H1352" s="131" t="s">
        <v>1595</v>
      </c>
      <c r="J1352" s="180" t="s">
        <v>1587</v>
      </c>
    </row>
    <row r="1353" spans="1:10" x14ac:dyDescent="0.2">
      <c r="A1353" s="213">
        <v>42562</v>
      </c>
      <c r="B1353" s="115" t="s">
        <v>127</v>
      </c>
      <c r="C1353" s="130"/>
      <c r="D1353" s="60">
        <v>376270713997</v>
      </c>
      <c r="E1353" s="113">
        <v>351215</v>
      </c>
      <c r="F1353" s="121"/>
      <c r="G1353" s="122">
        <v>133</v>
      </c>
      <c r="H1353" s="131" t="s">
        <v>1596</v>
      </c>
      <c r="J1353" s="180" t="s">
        <v>1587</v>
      </c>
    </row>
    <row r="1354" spans="1:10" x14ac:dyDescent="0.2">
      <c r="A1354" s="213">
        <v>42562</v>
      </c>
      <c r="B1354" s="115" t="s">
        <v>127</v>
      </c>
      <c r="C1354" s="130"/>
      <c r="D1354" s="60">
        <v>376270713997</v>
      </c>
      <c r="E1354" s="113">
        <v>351215</v>
      </c>
      <c r="F1354" s="121"/>
      <c r="G1354" s="122">
        <v>56.71</v>
      </c>
      <c r="H1354" s="131" t="s">
        <v>1597</v>
      </c>
      <c r="J1354" s="180" t="s">
        <v>1587</v>
      </c>
    </row>
    <row r="1355" spans="1:10" x14ac:dyDescent="0.2">
      <c r="A1355" s="213">
        <v>42563</v>
      </c>
      <c r="B1355" s="115" t="s">
        <v>127</v>
      </c>
      <c r="C1355" s="130"/>
      <c r="D1355" s="60">
        <v>376270713997</v>
      </c>
      <c r="E1355" s="113">
        <v>351215</v>
      </c>
      <c r="F1355" s="121"/>
      <c r="G1355" s="122">
        <v>407.51</v>
      </c>
      <c r="H1355" s="131" t="s">
        <v>1598</v>
      </c>
      <c r="J1355" s="180" t="s">
        <v>1587</v>
      </c>
    </row>
    <row r="1356" spans="1:10" x14ac:dyDescent="0.2">
      <c r="A1356" s="213">
        <v>42563</v>
      </c>
      <c r="B1356" s="115" t="s">
        <v>127</v>
      </c>
      <c r="C1356" s="130"/>
      <c r="D1356" s="60">
        <v>376270713997</v>
      </c>
      <c r="E1356" s="113">
        <v>351215</v>
      </c>
      <c r="F1356" s="121"/>
      <c r="G1356" s="122">
        <v>115</v>
      </c>
      <c r="H1356" s="131" t="s">
        <v>1599</v>
      </c>
      <c r="J1356" s="180" t="s">
        <v>1587</v>
      </c>
    </row>
    <row r="1357" spans="1:10" x14ac:dyDescent="0.2">
      <c r="A1357" s="213">
        <v>42564</v>
      </c>
      <c r="B1357" s="115" t="s">
        <v>127</v>
      </c>
      <c r="C1357" s="130"/>
      <c r="D1357" s="60">
        <v>376270713997</v>
      </c>
      <c r="E1357" s="113">
        <v>351215</v>
      </c>
      <c r="F1357" s="121"/>
      <c r="G1357" s="122">
        <v>118</v>
      </c>
      <c r="H1357" s="131" t="s">
        <v>1600</v>
      </c>
      <c r="J1357" s="180" t="s">
        <v>1587</v>
      </c>
    </row>
    <row r="1358" spans="1:10" x14ac:dyDescent="0.2">
      <c r="A1358" s="213">
        <v>42564</v>
      </c>
      <c r="B1358" s="115" t="s">
        <v>127</v>
      </c>
      <c r="C1358" s="130"/>
      <c r="D1358" s="60">
        <v>376270713997</v>
      </c>
      <c r="E1358" s="113">
        <v>351215</v>
      </c>
      <c r="F1358" s="121"/>
      <c r="G1358" s="122">
        <v>98</v>
      </c>
      <c r="H1358" s="131" t="s">
        <v>1601</v>
      </c>
      <c r="J1358" s="180" t="s">
        <v>1587</v>
      </c>
    </row>
    <row r="1359" spans="1:10" x14ac:dyDescent="0.2">
      <c r="A1359" s="213">
        <v>42564</v>
      </c>
      <c r="B1359" s="115" t="s">
        <v>127</v>
      </c>
      <c r="C1359" s="130"/>
      <c r="D1359" s="60">
        <v>376270713997</v>
      </c>
      <c r="E1359" s="113">
        <v>351215</v>
      </c>
      <c r="F1359" s="121"/>
      <c r="G1359" s="122">
        <v>52.32</v>
      </c>
      <c r="H1359" s="131" t="s">
        <v>1602</v>
      </c>
      <c r="J1359" s="180" t="s">
        <v>1587</v>
      </c>
    </row>
    <row r="1360" spans="1:10" x14ac:dyDescent="0.2">
      <c r="A1360" s="213">
        <v>42564</v>
      </c>
      <c r="B1360" s="115" t="s">
        <v>127</v>
      </c>
      <c r="C1360" s="130"/>
      <c r="D1360" s="60">
        <v>376270713997</v>
      </c>
      <c r="E1360" s="113">
        <v>351215</v>
      </c>
      <c r="F1360" s="121"/>
      <c r="G1360" s="122">
        <v>63</v>
      </c>
      <c r="H1360" s="131" t="s">
        <v>1603</v>
      </c>
      <c r="J1360" s="180" t="s">
        <v>1587</v>
      </c>
    </row>
    <row r="1361" spans="1:12" x14ac:dyDescent="0.2">
      <c r="A1361" s="213">
        <v>42566</v>
      </c>
      <c r="B1361" s="115" t="s">
        <v>127</v>
      </c>
      <c r="C1361" s="130"/>
      <c r="D1361" s="60">
        <v>376270713997</v>
      </c>
      <c r="E1361" s="113">
        <v>351215</v>
      </c>
      <c r="F1361" s="121"/>
      <c r="G1361" s="122">
        <v>264</v>
      </c>
      <c r="H1361" s="131" t="s">
        <v>1604</v>
      </c>
      <c r="J1361" s="180" t="s">
        <v>1587</v>
      </c>
    </row>
    <row r="1362" spans="1:12" x14ac:dyDescent="0.2">
      <c r="A1362" s="213">
        <v>42566</v>
      </c>
      <c r="B1362" s="115" t="s">
        <v>127</v>
      </c>
      <c r="C1362" s="130"/>
      <c r="D1362" s="60">
        <v>376270713997</v>
      </c>
      <c r="E1362" s="113">
        <v>351215</v>
      </c>
      <c r="F1362" s="121"/>
      <c r="G1362" s="122">
        <v>111.25</v>
      </c>
      <c r="H1362" s="131" t="s">
        <v>1605</v>
      </c>
      <c r="J1362" s="180" t="s">
        <v>1587</v>
      </c>
    </row>
    <row r="1363" spans="1:12" x14ac:dyDescent="0.2">
      <c r="A1363" s="213">
        <v>42566</v>
      </c>
      <c r="B1363" s="115" t="s">
        <v>127</v>
      </c>
      <c r="C1363" s="130"/>
      <c r="D1363" s="60">
        <v>376270713997</v>
      </c>
      <c r="E1363" s="113">
        <v>351215</v>
      </c>
      <c r="F1363" s="121"/>
      <c r="G1363" s="122">
        <v>43.5</v>
      </c>
      <c r="H1363" s="131" t="s">
        <v>1606</v>
      </c>
      <c r="J1363" s="180" t="s">
        <v>1587</v>
      </c>
    </row>
    <row r="1364" spans="1:12" x14ac:dyDescent="0.2">
      <c r="A1364" s="213">
        <v>42566</v>
      </c>
      <c r="B1364" s="115" t="s">
        <v>127</v>
      </c>
      <c r="C1364" s="130"/>
      <c r="D1364" s="60">
        <v>376270713997</v>
      </c>
      <c r="E1364" s="113">
        <v>351215</v>
      </c>
      <c r="F1364" s="121"/>
      <c r="G1364" s="122">
        <v>22.95</v>
      </c>
      <c r="H1364" s="131" t="s">
        <v>1607</v>
      </c>
      <c r="J1364" s="180" t="s">
        <v>1587</v>
      </c>
    </row>
    <row r="1365" spans="1:12" s="203" customFormat="1" ht="51" x14ac:dyDescent="0.2">
      <c r="A1365" s="221" t="s">
        <v>1946</v>
      </c>
      <c r="B1365" s="216" t="s">
        <v>0</v>
      </c>
      <c r="C1365" s="281" t="s">
        <v>1961</v>
      </c>
      <c r="D1365" s="280" t="s">
        <v>241</v>
      </c>
      <c r="E1365" s="68">
        <v>350531</v>
      </c>
      <c r="F1365" s="217"/>
      <c r="G1365" s="218">
        <v>260.39999999999998</v>
      </c>
      <c r="H1365" s="223"/>
      <c r="J1365" s="279" t="s">
        <v>246</v>
      </c>
    </row>
    <row r="1366" spans="1:12" s="289" customFormat="1" x14ac:dyDescent="0.2">
      <c r="A1366" s="282">
        <v>42566</v>
      </c>
      <c r="B1366" s="283" t="s">
        <v>127</v>
      </c>
      <c r="C1366" s="203" t="s">
        <v>151</v>
      </c>
      <c r="D1366" s="284" t="s">
        <v>1608</v>
      </c>
      <c r="E1366" s="285">
        <v>352562</v>
      </c>
      <c r="F1366" s="286"/>
      <c r="G1366" s="287">
        <v>101.78</v>
      </c>
      <c r="H1366" s="288" t="s">
        <v>1609</v>
      </c>
      <c r="J1366" s="290" t="s">
        <v>246</v>
      </c>
      <c r="L1366" s="289" t="s">
        <v>1610</v>
      </c>
    </row>
    <row r="1367" spans="1:12" x14ac:dyDescent="0.2">
      <c r="A1367" s="119" t="s">
        <v>1946</v>
      </c>
      <c r="B1367" s="115" t="s">
        <v>0</v>
      </c>
      <c r="C1367" s="130"/>
      <c r="D1367" s="182" t="s">
        <v>1611</v>
      </c>
      <c r="E1367" s="113">
        <v>350903</v>
      </c>
      <c r="F1367" s="121" t="s">
        <v>1612</v>
      </c>
      <c r="G1367" s="122">
        <v>96.95</v>
      </c>
      <c r="H1367" s="131"/>
      <c r="J1367" s="180" t="s">
        <v>1613</v>
      </c>
    </row>
    <row r="1368" spans="1:12" s="203" customFormat="1" x14ac:dyDescent="0.2">
      <c r="A1368" s="221" t="s">
        <v>1946</v>
      </c>
      <c r="B1368" s="216" t="s">
        <v>0</v>
      </c>
      <c r="C1368" s="203" t="s">
        <v>209</v>
      </c>
      <c r="D1368" s="291" t="s">
        <v>317</v>
      </c>
      <c r="E1368" s="68">
        <v>772</v>
      </c>
      <c r="F1368" s="217"/>
      <c r="G1368" s="218">
        <v>122.66</v>
      </c>
      <c r="H1368" s="223"/>
      <c r="J1368" s="279" t="s">
        <v>246</v>
      </c>
    </row>
    <row r="1369" spans="1:12" s="203" customFormat="1" x14ac:dyDescent="0.2">
      <c r="A1369" s="221" t="s">
        <v>1946</v>
      </c>
      <c r="B1369" s="216" t="s">
        <v>0</v>
      </c>
      <c r="C1369" s="203" t="s">
        <v>209</v>
      </c>
      <c r="D1369" s="292" t="s">
        <v>1614</v>
      </c>
      <c r="E1369" s="68"/>
      <c r="F1369" s="217"/>
      <c r="G1369" s="218">
        <v>101.78</v>
      </c>
      <c r="H1369" s="223"/>
      <c r="J1369" s="279" t="s">
        <v>246</v>
      </c>
    </row>
    <row r="1370" spans="1:12" x14ac:dyDescent="0.2">
      <c r="A1370" s="119" t="s">
        <v>1946</v>
      </c>
      <c r="B1370" s="115" t="s">
        <v>0</v>
      </c>
      <c r="C1370" s="130"/>
      <c r="D1370" s="182" t="s">
        <v>1616</v>
      </c>
      <c r="E1370" s="113">
        <v>350658</v>
      </c>
      <c r="F1370" s="121"/>
      <c r="G1370" s="122">
        <v>106.16</v>
      </c>
      <c r="H1370" s="131"/>
      <c r="J1370" s="180" t="s">
        <v>1615</v>
      </c>
    </row>
    <row r="1371" spans="1:12" x14ac:dyDescent="0.2">
      <c r="A1371" s="119" t="s">
        <v>1946</v>
      </c>
      <c r="B1371" s="115" t="s">
        <v>0</v>
      </c>
      <c r="C1371" s="130"/>
      <c r="D1371" s="182" t="s">
        <v>1617</v>
      </c>
      <c r="E1371" s="113">
        <v>350855</v>
      </c>
      <c r="F1371" s="121"/>
      <c r="G1371" s="122">
        <v>106.9</v>
      </c>
      <c r="H1371" s="131"/>
      <c r="J1371" s="180" t="s">
        <v>1615</v>
      </c>
    </row>
    <row r="1372" spans="1:12" x14ac:dyDescent="0.2">
      <c r="A1372" s="119" t="s">
        <v>1946</v>
      </c>
      <c r="B1372" s="115" t="s">
        <v>0</v>
      </c>
      <c r="C1372" s="130"/>
      <c r="D1372" s="183" t="s">
        <v>1618</v>
      </c>
      <c r="F1372" s="121"/>
      <c r="G1372" s="122">
        <v>116</v>
      </c>
      <c r="H1372" s="131"/>
      <c r="J1372" s="180" t="s">
        <v>1615</v>
      </c>
    </row>
    <row r="1373" spans="1:12" x14ac:dyDescent="0.2">
      <c r="A1373" s="119" t="s">
        <v>1946</v>
      </c>
      <c r="B1373" s="115" t="s">
        <v>0</v>
      </c>
      <c r="C1373" s="130"/>
      <c r="D1373" s="182" t="s">
        <v>1619</v>
      </c>
      <c r="E1373" s="113">
        <v>351988</v>
      </c>
      <c r="F1373" s="121"/>
      <c r="G1373" s="122">
        <v>107.16</v>
      </c>
      <c r="H1373" s="131"/>
      <c r="J1373" s="180" t="s">
        <v>1620</v>
      </c>
    </row>
    <row r="1374" spans="1:12" s="203" customFormat="1" x14ac:dyDescent="0.2">
      <c r="A1374" s="221" t="s">
        <v>1946</v>
      </c>
      <c r="B1374" s="216" t="s">
        <v>0</v>
      </c>
      <c r="C1374" s="203" t="s">
        <v>209</v>
      </c>
      <c r="D1374" s="280" t="s">
        <v>1621</v>
      </c>
      <c r="E1374" s="68">
        <v>352148</v>
      </c>
      <c r="F1374" s="217"/>
      <c r="G1374" s="218">
        <v>207.9</v>
      </c>
      <c r="H1374" s="223"/>
      <c r="J1374" s="279" t="s">
        <v>246</v>
      </c>
    </row>
    <row r="1375" spans="1:12" s="203" customFormat="1" x14ac:dyDescent="0.2">
      <c r="A1375" s="221" t="s">
        <v>1946</v>
      </c>
      <c r="B1375" s="216" t="s">
        <v>0</v>
      </c>
      <c r="C1375" s="203" t="s">
        <v>209</v>
      </c>
      <c r="D1375" s="292" t="s">
        <v>1551</v>
      </c>
      <c r="E1375" s="68"/>
      <c r="F1375" s="217"/>
      <c r="G1375" s="218">
        <v>376.8</v>
      </c>
      <c r="H1375" s="223"/>
      <c r="J1375" s="279" t="s">
        <v>246</v>
      </c>
    </row>
    <row r="1376" spans="1:12" x14ac:dyDescent="0.2">
      <c r="A1376" s="119" t="s">
        <v>1946</v>
      </c>
      <c r="B1376" s="115" t="s">
        <v>0</v>
      </c>
      <c r="C1376" s="130"/>
      <c r="D1376" s="182" t="s">
        <v>112</v>
      </c>
      <c r="E1376" s="113">
        <v>350818</v>
      </c>
      <c r="F1376" s="121"/>
      <c r="G1376" s="122">
        <v>111.95</v>
      </c>
      <c r="H1376" s="131"/>
      <c r="J1376" s="180" t="s">
        <v>1962</v>
      </c>
    </row>
    <row r="1377" spans="1:11" s="203" customFormat="1" x14ac:dyDescent="0.2">
      <c r="A1377" s="215">
        <v>42570</v>
      </c>
      <c r="B1377" s="216" t="s">
        <v>127</v>
      </c>
      <c r="C1377" s="203" t="s">
        <v>151</v>
      </c>
      <c r="D1377" s="217" t="s">
        <v>1566</v>
      </c>
      <c r="E1377" s="68">
        <v>351775</v>
      </c>
      <c r="F1377" s="217"/>
      <c r="G1377" s="218">
        <v>69.010000000000005</v>
      </c>
      <c r="H1377" s="203">
        <v>2165629</v>
      </c>
      <c r="J1377" s="279" t="s">
        <v>246</v>
      </c>
    </row>
    <row r="1378" spans="1:11" s="203" customFormat="1" x14ac:dyDescent="0.2">
      <c r="A1378" s="215">
        <v>42570</v>
      </c>
      <c r="B1378" s="216" t="s">
        <v>127</v>
      </c>
      <c r="C1378" s="203" t="s">
        <v>151</v>
      </c>
      <c r="D1378" s="217" t="s">
        <v>192</v>
      </c>
      <c r="E1378" s="68">
        <v>223720</v>
      </c>
      <c r="F1378" s="217"/>
      <c r="G1378" s="218">
        <v>68.92</v>
      </c>
      <c r="H1378" s="203">
        <v>2164517</v>
      </c>
      <c r="J1378" s="279" t="s">
        <v>246</v>
      </c>
    </row>
    <row r="1379" spans="1:11" x14ac:dyDescent="0.2">
      <c r="A1379" s="213">
        <v>42573</v>
      </c>
      <c r="B1379" s="115" t="s">
        <v>127</v>
      </c>
      <c r="D1379" s="121" t="s">
        <v>1623</v>
      </c>
      <c r="E1379" s="113">
        <v>352522</v>
      </c>
      <c r="F1379" s="121"/>
      <c r="G1379" s="122">
        <v>56.9</v>
      </c>
      <c r="H1379" s="117">
        <v>2179157</v>
      </c>
      <c r="J1379" s="180" t="s">
        <v>1622</v>
      </c>
    </row>
    <row r="1380" spans="1:11" x14ac:dyDescent="0.2">
      <c r="A1380" s="213">
        <v>42573</v>
      </c>
      <c r="B1380" s="115" t="s">
        <v>127</v>
      </c>
      <c r="D1380" s="121" t="s">
        <v>193</v>
      </c>
      <c r="E1380" s="113">
        <v>226743</v>
      </c>
      <c r="F1380" s="121"/>
      <c r="G1380" s="122">
        <v>13.5</v>
      </c>
      <c r="J1380" s="184" t="s">
        <v>1624</v>
      </c>
      <c r="K1380" s="19"/>
    </row>
    <row r="1381" spans="1:11" x14ac:dyDescent="0.2">
      <c r="A1381" s="213">
        <v>42569</v>
      </c>
      <c r="B1381" s="20" t="s">
        <v>127</v>
      </c>
      <c r="D1381" s="120" t="s">
        <v>181</v>
      </c>
      <c r="E1381" s="113">
        <v>351215</v>
      </c>
      <c r="F1381" s="121"/>
      <c r="G1381" s="122">
        <f>18.26+34.74</f>
        <v>53</v>
      </c>
      <c r="H1381" s="117">
        <v>2165979</v>
      </c>
      <c r="J1381" s="180" t="s">
        <v>1625</v>
      </c>
    </row>
    <row r="1382" spans="1:11" x14ac:dyDescent="0.2">
      <c r="A1382" s="213">
        <v>42569</v>
      </c>
      <c r="B1382" s="20" t="s">
        <v>127</v>
      </c>
      <c r="D1382" s="120" t="s">
        <v>181</v>
      </c>
      <c r="E1382" s="113">
        <v>351215</v>
      </c>
      <c r="F1382" s="121"/>
      <c r="G1382" s="122">
        <f>6.32+29.92</f>
        <v>36.24</v>
      </c>
      <c r="H1382" s="117">
        <v>2167569</v>
      </c>
      <c r="J1382" s="180" t="s">
        <v>1625</v>
      </c>
    </row>
    <row r="1383" spans="1:11" x14ac:dyDescent="0.2">
      <c r="A1383" s="213">
        <v>42569</v>
      </c>
      <c r="B1383" s="20" t="s">
        <v>127</v>
      </c>
      <c r="D1383" s="120" t="s">
        <v>181</v>
      </c>
      <c r="E1383" s="113">
        <v>351215</v>
      </c>
      <c r="F1383" s="121"/>
      <c r="G1383" s="122">
        <f>55.84+111.16</f>
        <v>167</v>
      </c>
      <c r="H1383" s="117">
        <v>2166920</v>
      </c>
      <c r="J1383" s="180" t="s">
        <v>1625</v>
      </c>
    </row>
    <row r="1384" spans="1:11" x14ac:dyDescent="0.2">
      <c r="A1384" s="214">
        <v>42569</v>
      </c>
      <c r="B1384" s="20" t="s">
        <v>127</v>
      </c>
      <c r="D1384" s="120" t="s">
        <v>181</v>
      </c>
      <c r="E1384" s="113">
        <v>351215</v>
      </c>
      <c r="F1384" s="121"/>
      <c r="G1384" s="122">
        <f>55.84+111.16</f>
        <v>167</v>
      </c>
      <c r="H1384" s="117">
        <v>2166638</v>
      </c>
      <c r="J1384" s="180" t="s">
        <v>1625</v>
      </c>
    </row>
    <row r="1385" spans="1:11" x14ac:dyDescent="0.2">
      <c r="A1385" s="213">
        <v>42569</v>
      </c>
      <c r="B1385" s="20" t="s">
        <v>127</v>
      </c>
      <c r="D1385" s="120" t="s">
        <v>181</v>
      </c>
      <c r="E1385" s="113">
        <v>351215</v>
      </c>
      <c r="F1385" s="121"/>
      <c r="G1385" s="122">
        <f>25.43+30.04</f>
        <v>55.47</v>
      </c>
      <c r="H1385" s="117">
        <v>2158366</v>
      </c>
      <c r="J1385" s="180" t="s">
        <v>1625</v>
      </c>
    </row>
    <row r="1386" spans="1:11" x14ac:dyDescent="0.2">
      <c r="A1386" s="213">
        <v>42569</v>
      </c>
      <c r="B1386" s="20" t="s">
        <v>127</v>
      </c>
      <c r="D1386" s="120" t="s">
        <v>181</v>
      </c>
      <c r="E1386" s="113">
        <v>351215</v>
      </c>
      <c r="F1386" s="121"/>
      <c r="G1386" s="122">
        <f>27.05+43.8</f>
        <v>70.849999999999994</v>
      </c>
      <c r="H1386" s="117">
        <v>2162117</v>
      </c>
      <c r="J1386" s="180" t="s">
        <v>1625</v>
      </c>
    </row>
    <row r="1387" spans="1:11" x14ac:dyDescent="0.2">
      <c r="A1387" s="213">
        <v>42569</v>
      </c>
      <c r="B1387" s="20" t="s">
        <v>127</v>
      </c>
      <c r="D1387" s="120" t="s">
        <v>181</v>
      </c>
      <c r="E1387" s="113">
        <v>351215</v>
      </c>
      <c r="F1387" s="121"/>
      <c r="G1387" s="122">
        <f>35.47+82.53</f>
        <v>118</v>
      </c>
      <c r="H1387" s="117">
        <v>2163673</v>
      </c>
      <c r="J1387" s="180" t="s">
        <v>1625</v>
      </c>
    </row>
    <row r="1388" spans="1:11" x14ac:dyDescent="0.2">
      <c r="A1388" s="213">
        <v>42569</v>
      </c>
      <c r="B1388" s="20" t="s">
        <v>127</v>
      </c>
      <c r="D1388" s="120" t="s">
        <v>181</v>
      </c>
      <c r="E1388" s="113">
        <v>351215</v>
      </c>
      <c r="F1388" s="121"/>
      <c r="G1388" s="122">
        <f>37.41+84.59</f>
        <v>122</v>
      </c>
      <c r="H1388" s="117">
        <v>2163670</v>
      </c>
      <c r="J1388" s="180" t="s">
        <v>1625</v>
      </c>
    </row>
    <row r="1389" spans="1:11" x14ac:dyDescent="0.2">
      <c r="A1389" s="213">
        <v>42570</v>
      </c>
      <c r="B1389" s="20" t="s">
        <v>127</v>
      </c>
      <c r="D1389" s="120" t="s">
        <v>181</v>
      </c>
      <c r="E1389" s="113">
        <v>351215</v>
      </c>
      <c r="F1389" s="121"/>
      <c r="G1389" s="122">
        <f>31.22+59.5</f>
        <v>90.72</v>
      </c>
      <c r="H1389" s="117">
        <v>2169651</v>
      </c>
      <c r="J1389" s="180" t="s">
        <v>1625</v>
      </c>
    </row>
    <row r="1390" spans="1:11" x14ac:dyDescent="0.2">
      <c r="A1390" s="213">
        <v>42571</v>
      </c>
      <c r="B1390" s="20" t="s">
        <v>127</v>
      </c>
      <c r="D1390" s="120" t="s">
        <v>181</v>
      </c>
      <c r="E1390" s="113">
        <v>351215</v>
      </c>
      <c r="F1390" s="121"/>
      <c r="G1390" s="122">
        <f>44.92+82.53</f>
        <v>127.45</v>
      </c>
      <c r="H1390" s="117">
        <v>2167282</v>
      </c>
      <c r="J1390" s="180" t="s">
        <v>1625</v>
      </c>
    </row>
    <row r="1391" spans="1:11" x14ac:dyDescent="0.2">
      <c r="A1391" s="213">
        <v>42571</v>
      </c>
      <c r="B1391" s="20" t="s">
        <v>127</v>
      </c>
      <c r="D1391" s="120" t="s">
        <v>181</v>
      </c>
      <c r="E1391" s="113">
        <v>351215</v>
      </c>
      <c r="F1391" s="121"/>
      <c r="G1391" s="122">
        <f>20.32+42.68</f>
        <v>63</v>
      </c>
      <c r="H1391" s="117">
        <v>2171183</v>
      </c>
      <c r="J1391" s="180" t="s">
        <v>1625</v>
      </c>
    </row>
    <row r="1392" spans="1:11" x14ac:dyDescent="0.2">
      <c r="A1392" s="213">
        <v>42572</v>
      </c>
      <c r="B1392" s="20" t="s">
        <v>127</v>
      </c>
      <c r="D1392" s="120" t="s">
        <v>181</v>
      </c>
      <c r="E1392" s="113">
        <v>351215</v>
      </c>
      <c r="F1392" s="121"/>
      <c r="G1392" s="122">
        <f>32.56+50.9</f>
        <v>83.460000000000008</v>
      </c>
      <c r="H1392" s="117">
        <v>2173771</v>
      </c>
      <c r="J1392" s="180" t="s">
        <v>1625</v>
      </c>
    </row>
    <row r="1393" spans="1:12" x14ac:dyDescent="0.2">
      <c r="A1393" s="213">
        <v>42572</v>
      </c>
      <c r="B1393" s="20" t="s">
        <v>127</v>
      </c>
      <c r="D1393" s="120" t="s">
        <v>181</v>
      </c>
      <c r="E1393" s="113">
        <v>351215</v>
      </c>
      <c r="F1393" s="121"/>
      <c r="G1393" s="122">
        <f>22.14+44.86</f>
        <v>67</v>
      </c>
      <c r="H1393" s="117">
        <v>2177153</v>
      </c>
      <c r="J1393" s="180" t="s">
        <v>1625</v>
      </c>
    </row>
    <row r="1394" spans="1:12" x14ac:dyDescent="0.2">
      <c r="A1394" s="213">
        <v>42572</v>
      </c>
      <c r="B1394" s="20" t="s">
        <v>127</v>
      </c>
      <c r="D1394" s="120" t="s">
        <v>181</v>
      </c>
      <c r="E1394" s="113">
        <v>351215</v>
      </c>
      <c r="F1394" s="121"/>
      <c r="G1394" s="122">
        <f>31.57+56.43</f>
        <v>88</v>
      </c>
      <c r="H1394" s="117">
        <v>2174048</v>
      </c>
      <c r="J1394" s="180" t="s">
        <v>1625</v>
      </c>
    </row>
    <row r="1395" spans="1:12" x14ac:dyDescent="0.2">
      <c r="A1395" s="213">
        <v>42572</v>
      </c>
      <c r="B1395" s="20" t="s">
        <v>127</v>
      </c>
      <c r="D1395" s="120" t="s">
        <v>181</v>
      </c>
      <c r="E1395" s="113">
        <v>351215</v>
      </c>
      <c r="F1395" s="121"/>
      <c r="G1395" s="122">
        <f>21.2+43.8</f>
        <v>65</v>
      </c>
      <c r="H1395" s="117">
        <v>2171574</v>
      </c>
      <c r="J1395" s="180" t="s">
        <v>1625</v>
      </c>
    </row>
    <row r="1396" spans="1:12" x14ac:dyDescent="0.2">
      <c r="A1396" s="213">
        <v>42573</v>
      </c>
      <c r="B1396" s="20" t="s">
        <v>127</v>
      </c>
      <c r="D1396" s="120" t="s">
        <v>181</v>
      </c>
      <c r="E1396" s="113">
        <v>351215</v>
      </c>
      <c r="F1396" s="121"/>
      <c r="G1396" s="122">
        <f>29.85+85.66</f>
        <v>115.50999999999999</v>
      </c>
      <c r="H1396" s="117">
        <v>2178491</v>
      </c>
      <c r="J1396" s="180" t="s">
        <v>1625</v>
      </c>
    </row>
    <row r="1397" spans="1:12" x14ac:dyDescent="0.2">
      <c r="A1397" s="213">
        <v>42573</v>
      </c>
      <c r="B1397" s="20" t="s">
        <v>127</v>
      </c>
      <c r="D1397" s="120" t="s">
        <v>181</v>
      </c>
      <c r="E1397" s="113">
        <v>351215</v>
      </c>
      <c r="F1397" s="121"/>
      <c r="G1397" s="122">
        <f>25.57+36.38</f>
        <v>61.95</v>
      </c>
      <c r="H1397" s="117">
        <v>2180217</v>
      </c>
      <c r="J1397" s="180" t="s">
        <v>1625</v>
      </c>
    </row>
    <row r="1398" spans="1:12" s="203" customFormat="1" x14ac:dyDescent="0.2">
      <c r="A1398" s="221" t="s">
        <v>262</v>
      </c>
      <c r="B1398" s="216" t="s">
        <v>0</v>
      </c>
      <c r="C1398" s="203" t="s">
        <v>1626</v>
      </c>
      <c r="D1398" s="280" t="s">
        <v>1266</v>
      </c>
      <c r="E1398" s="68">
        <v>350923</v>
      </c>
      <c r="F1398" s="217" t="s">
        <v>1627</v>
      </c>
      <c r="G1398" s="218">
        <v>109.55</v>
      </c>
      <c r="H1398" s="223"/>
      <c r="J1398" s="279" t="s">
        <v>246</v>
      </c>
    </row>
    <row r="1399" spans="1:12" x14ac:dyDescent="0.2">
      <c r="A1399" s="119" t="s">
        <v>262</v>
      </c>
      <c r="B1399" s="20" t="s">
        <v>58</v>
      </c>
      <c r="C1399" s="130"/>
      <c r="D1399" s="182" t="s">
        <v>115</v>
      </c>
      <c r="E1399" s="113">
        <v>351425</v>
      </c>
      <c r="F1399" s="121" t="s">
        <v>116</v>
      </c>
      <c r="G1399" s="122">
        <v>84.95</v>
      </c>
      <c r="H1399" s="131"/>
      <c r="J1399" s="180" t="s">
        <v>117</v>
      </c>
    </row>
    <row r="1400" spans="1:12" s="203" customFormat="1" x14ac:dyDescent="0.2">
      <c r="A1400" s="221" t="s">
        <v>262</v>
      </c>
      <c r="B1400" s="216" t="s">
        <v>0</v>
      </c>
      <c r="C1400" s="203" t="s">
        <v>209</v>
      </c>
      <c r="D1400" s="280" t="s">
        <v>1621</v>
      </c>
      <c r="E1400" s="68">
        <v>352148</v>
      </c>
      <c r="F1400" s="217"/>
      <c r="G1400" s="218">
        <v>140</v>
      </c>
      <c r="H1400" s="223"/>
      <c r="J1400" s="279" t="s">
        <v>246</v>
      </c>
    </row>
    <row r="1401" spans="1:12" x14ac:dyDescent="0.2">
      <c r="A1401" s="119" t="s">
        <v>262</v>
      </c>
      <c r="B1401" s="20" t="s">
        <v>0</v>
      </c>
      <c r="C1401" s="130"/>
      <c r="D1401" s="182" t="s">
        <v>1619</v>
      </c>
      <c r="E1401" s="113">
        <v>351988</v>
      </c>
      <c r="F1401" s="121"/>
      <c r="G1401" s="122">
        <v>107.16</v>
      </c>
      <c r="H1401" s="131"/>
      <c r="J1401" s="180" t="s">
        <v>1628</v>
      </c>
    </row>
    <row r="1402" spans="1:12" x14ac:dyDescent="0.2">
      <c r="A1402" s="119" t="s">
        <v>262</v>
      </c>
      <c r="B1402" s="20" t="s">
        <v>0</v>
      </c>
      <c r="C1402" s="130"/>
      <c r="D1402" s="182" t="s">
        <v>1617</v>
      </c>
      <c r="E1402" s="113">
        <v>350855</v>
      </c>
      <c r="F1402" s="121"/>
      <c r="G1402" s="122">
        <v>106.9</v>
      </c>
      <c r="H1402" s="131"/>
      <c r="J1402" s="180" t="s">
        <v>1628</v>
      </c>
    </row>
    <row r="1403" spans="1:12" x14ac:dyDescent="0.2">
      <c r="A1403" s="119" t="s">
        <v>262</v>
      </c>
      <c r="B1403" s="20" t="s">
        <v>0</v>
      </c>
      <c r="C1403" s="130"/>
      <c r="D1403" s="182" t="s">
        <v>1616</v>
      </c>
      <c r="E1403" s="113">
        <v>350658</v>
      </c>
      <c r="F1403" s="121"/>
      <c r="G1403" s="122">
        <v>106.16</v>
      </c>
      <c r="H1403" s="131"/>
      <c r="J1403" s="180" t="s">
        <v>1628</v>
      </c>
    </row>
    <row r="1404" spans="1:12" s="239" customFormat="1" x14ac:dyDescent="0.2">
      <c r="A1404" s="293">
        <v>42569</v>
      </c>
      <c r="B1404" s="237" t="s">
        <v>127</v>
      </c>
      <c r="C1404" s="203" t="s">
        <v>151</v>
      </c>
      <c r="D1404" s="291" t="s">
        <v>1608</v>
      </c>
      <c r="E1404" s="246">
        <v>352562</v>
      </c>
      <c r="F1404" s="240"/>
      <c r="G1404" s="241">
        <f>6.59+33.48</f>
        <v>40.069999999999993</v>
      </c>
      <c r="H1404" s="242" t="s">
        <v>1609</v>
      </c>
      <c r="J1404" s="294" t="s">
        <v>1628</v>
      </c>
      <c r="L1404" s="239" t="s">
        <v>1610</v>
      </c>
    </row>
    <row r="1405" spans="1:12" s="239" customFormat="1" x14ac:dyDescent="0.2">
      <c r="A1405" s="293">
        <v>42569</v>
      </c>
      <c r="B1405" s="237" t="s">
        <v>127</v>
      </c>
      <c r="C1405" s="203" t="s">
        <v>151</v>
      </c>
      <c r="D1405" s="291" t="s">
        <v>1608</v>
      </c>
      <c r="E1405" s="246">
        <v>352562</v>
      </c>
      <c r="F1405" s="240"/>
      <c r="G1405" s="241">
        <f>15.96+41.9</f>
        <v>57.86</v>
      </c>
      <c r="H1405" s="242" t="s">
        <v>1629</v>
      </c>
      <c r="J1405" s="294"/>
    </row>
    <row r="1406" spans="1:12" s="203" customFormat="1" ht="38.25" x14ac:dyDescent="0.2">
      <c r="A1406" s="221" t="s">
        <v>262</v>
      </c>
      <c r="B1406" s="216" t="s">
        <v>0</v>
      </c>
      <c r="C1406" s="281" t="s">
        <v>1963</v>
      </c>
      <c r="D1406" s="280" t="s">
        <v>241</v>
      </c>
      <c r="E1406" s="68">
        <v>350531</v>
      </c>
      <c r="F1406" s="217"/>
      <c r="G1406" s="218">
        <v>2.39</v>
      </c>
      <c r="H1406" s="223"/>
      <c r="J1406" s="203" t="s">
        <v>246</v>
      </c>
    </row>
    <row r="1407" spans="1:12" x14ac:dyDescent="0.2">
      <c r="A1407" s="119" t="s">
        <v>262</v>
      </c>
      <c r="B1407" s="20" t="s">
        <v>0</v>
      </c>
      <c r="C1407" s="130"/>
      <c r="D1407" s="182" t="s">
        <v>1618</v>
      </c>
      <c r="F1407" s="121"/>
      <c r="G1407" s="122">
        <v>56.9</v>
      </c>
      <c r="H1407" s="131"/>
      <c r="J1407" s="19" t="s">
        <v>1630</v>
      </c>
    </row>
    <row r="1408" spans="1:12" s="203" customFormat="1" x14ac:dyDescent="0.2">
      <c r="A1408" s="221" t="s">
        <v>262</v>
      </c>
      <c r="B1408" s="216" t="s">
        <v>0</v>
      </c>
      <c r="C1408" s="203" t="s">
        <v>209</v>
      </c>
      <c r="D1408" s="280" t="s">
        <v>1551</v>
      </c>
      <c r="E1408" s="68"/>
      <c r="F1408" s="217"/>
      <c r="G1408" s="218">
        <v>69.010000000000005</v>
      </c>
      <c r="H1408" s="223"/>
      <c r="J1408" s="203" t="s">
        <v>246</v>
      </c>
    </row>
    <row r="1409" spans="1:10" s="203" customFormat="1" x14ac:dyDescent="0.2">
      <c r="A1409" s="215">
        <v>42577</v>
      </c>
      <c r="B1409" s="216" t="s">
        <v>127</v>
      </c>
      <c r="C1409" s="203" t="s">
        <v>151</v>
      </c>
      <c r="D1409" s="217" t="s">
        <v>1608</v>
      </c>
      <c r="E1409" s="68">
        <v>352562</v>
      </c>
      <c r="F1409" s="217"/>
      <c r="G1409" s="218">
        <f>13.09+40.48</f>
        <v>53.569999999999993</v>
      </c>
      <c r="H1409" s="203">
        <v>2186820</v>
      </c>
      <c r="J1409" s="203" t="s">
        <v>246</v>
      </c>
    </row>
    <row r="1410" spans="1:10" s="203" customFormat="1" x14ac:dyDescent="0.2">
      <c r="A1410" s="215">
        <v>42577</v>
      </c>
      <c r="B1410" s="216" t="s">
        <v>127</v>
      </c>
      <c r="C1410" s="203" t="s">
        <v>151</v>
      </c>
      <c r="D1410" s="59">
        <v>221224755993</v>
      </c>
      <c r="E1410" s="68">
        <v>351775</v>
      </c>
      <c r="F1410" s="217"/>
      <c r="G1410" s="271">
        <f>8.87+98.54</f>
        <v>107.41000000000001</v>
      </c>
      <c r="H1410" s="223" t="s">
        <v>1631</v>
      </c>
      <c r="J1410" s="203" t="s">
        <v>246</v>
      </c>
    </row>
    <row r="1411" spans="1:10" s="203" customFormat="1" x14ac:dyDescent="0.2">
      <c r="A1411" s="215">
        <v>42577</v>
      </c>
      <c r="B1411" s="216" t="s">
        <v>127</v>
      </c>
      <c r="C1411" s="203" t="s">
        <v>151</v>
      </c>
      <c r="D1411" s="59">
        <v>221224755993</v>
      </c>
      <c r="E1411" s="68">
        <v>351775</v>
      </c>
      <c r="F1411" s="217"/>
      <c r="G1411" s="271">
        <f>4.39+55.07</f>
        <v>59.46</v>
      </c>
      <c r="H1411" s="223" t="s">
        <v>1632</v>
      </c>
      <c r="J1411" s="203" t="s">
        <v>246</v>
      </c>
    </row>
    <row r="1412" spans="1:10" x14ac:dyDescent="0.2">
      <c r="A1412" s="213">
        <v>42576</v>
      </c>
      <c r="B1412" s="20" t="s">
        <v>127</v>
      </c>
      <c r="C1412" s="130"/>
      <c r="D1412" s="60">
        <v>376270713997</v>
      </c>
      <c r="E1412" s="113">
        <v>351215</v>
      </c>
      <c r="F1412" s="121"/>
      <c r="G1412" s="176">
        <f>15.06+34.75</f>
        <v>49.81</v>
      </c>
      <c r="H1412" s="131" t="s">
        <v>1633</v>
      </c>
      <c r="J1412" s="190" t="s">
        <v>1634</v>
      </c>
    </row>
    <row r="1413" spans="1:10" x14ac:dyDescent="0.2">
      <c r="A1413" s="213">
        <v>42577</v>
      </c>
      <c r="B1413" s="20" t="s">
        <v>127</v>
      </c>
      <c r="C1413" s="130"/>
      <c r="D1413" s="60">
        <v>376270713997</v>
      </c>
      <c r="E1413" s="113">
        <v>351215</v>
      </c>
      <c r="F1413" s="121"/>
      <c r="G1413" s="176">
        <f>55.84+111.16</f>
        <v>167</v>
      </c>
      <c r="H1413" s="131" t="s">
        <v>1635</v>
      </c>
      <c r="J1413" s="190" t="s">
        <v>1634</v>
      </c>
    </row>
    <row r="1414" spans="1:10" x14ac:dyDescent="0.2">
      <c r="A1414" s="213">
        <v>42577</v>
      </c>
      <c r="B1414" s="20" t="s">
        <v>127</v>
      </c>
      <c r="C1414" s="130"/>
      <c r="D1414" s="60">
        <v>376270713997</v>
      </c>
      <c r="E1414" s="113">
        <v>351215</v>
      </c>
      <c r="F1414" s="121"/>
      <c r="G1414" s="176">
        <f>25.37+42.68</f>
        <v>68.05</v>
      </c>
      <c r="H1414" s="131" t="s">
        <v>1636</v>
      </c>
      <c r="J1414" s="190" t="s">
        <v>1634</v>
      </c>
    </row>
    <row r="1415" spans="1:10" x14ac:dyDescent="0.2">
      <c r="A1415" s="213">
        <v>42577</v>
      </c>
      <c r="B1415" s="20" t="s">
        <v>127</v>
      </c>
      <c r="C1415" s="130"/>
      <c r="D1415" s="60">
        <v>376270713997</v>
      </c>
      <c r="E1415" s="113">
        <v>351215</v>
      </c>
      <c r="F1415" s="121"/>
      <c r="G1415" s="176">
        <f>25.28+35.55</f>
        <v>60.83</v>
      </c>
      <c r="H1415" s="131" t="s">
        <v>1637</v>
      </c>
      <c r="J1415" s="190" t="s">
        <v>1634</v>
      </c>
    </row>
    <row r="1416" spans="1:10" x14ac:dyDescent="0.2">
      <c r="A1416" s="213">
        <v>42577</v>
      </c>
      <c r="B1416" s="20" t="s">
        <v>127</v>
      </c>
      <c r="C1416" s="130"/>
      <c r="D1416" s="60">
        <v>376270713997</v>
      </c>
      <c r="E1416" s="113">
        <v>351215</v>
      </c>
      <c r="F1416" s="121"/>
      <c r="G1416" s="176">
        <f>8.93+10.2</f>
        <v>19.13</v>
      </c>
      <c r="H1416" s="131" t="s">
        <v>1638</v>
      </c>
      <c r="J1416" s="190" t="s">
        <v>1634</v>
      </c>
    </row>
    <row r="1417" spans="1:10" x14ac:dyDescent="0.2">
      <c r="A1417" s="213">
        <v>42577</v>
      </c>
      <c r="B1417" s="20" t="s">
        <v>127</v>
      </c>
      <c r="C1417" s="130"/>
      <c r="D1417" s="60">
        <v>376270713997</v>
      </c>
      <c r="E1417" s="113">
        <v>351215</v>
      </c>
      <c r="F1417" s="121"/>
      <c r="G1417" s="176">
        <f>24.32+41.38</f>
        <v>65.7</v>
      </c>
      <c r="H1417" s="131" t="s">
        <v>1639</v>
      </c>
      <c r="J1417" s="190" t="s">
        <v>1634</v>
      </c>
    </row>
    <row r="1418" spans="1:10" x14ac:dyDescent="0.2">
      <c r="A1418" s="213">
        <v>42578</v>
      </c>
      <c r="B1418" s="20" t="s">
        <v>127</v>
      </c>
      <c r="C1418" s="130"/>
      <c r="D1418" s="60">
        <v>376270713997</v>
      </c>
      <c r="E1418" s="113">
        <v>351215</v>
      </c>
      <c r="F1418" s="121"/>
      <c r="G1418" s="176">
        <f>34.63+41.44</f>
        <v>76.069999999999993</v>
      </c>
      <c r="H1418" s="131" t="s">
        <v>1640</v>
      </c>
      <c r="J1418" s="190" t="s">
        <v>1634</v>
      </c>
    </row>
    <row r="1419" spans="1:10" x14ac:dyDescent="0.2">
      <c r="A1419" s="213">
        <v>42578</v>
      </c>
      <c r="B1419" s="20" t="s">
        <v>127</v>
      </c>
      <c r="C1419" s="130"/>
      <c r="D1419" s="60">
        <v>376270713997</v>
      </c>
      <c r="E1419" s="113">
        <v>351215</v>
      </c>
      <c r="F1419" s="121"/>
      <c r="G1419" s="176">
        <f>52.89+85.55</f>
        <v>138.44</v>
      </c>
      <c r="H1419" s="131" t="s">
        <v>1641</v>
      </c>
      <c r="J1419" s="190" t="s">
        <v>1634</v>
      </c>
    </row>
    <row r="1420" spans="1:10" x14ac:dyDescent="0.2">
      <c r="A1420" s="213">
        <v>42578</v>
      </c>
      <c r="B1420" s="20" t="s">
        <v>127</v>
      </c>
      <c r="C1420" s="130"/>
      <c r="D1420" s="60">
        <v>376270713997</v>
      </c>
      <c r="E1420" s="113">
        <v>351215</v>
      </c>
      <c r="F1420" s="121"/>
      <c r="G1420" s="176">
        <f>9.12+7.02</f>
        <v>16.14</v>
      </c>
      <c r="H1420" s="131" t="s">
        <v>1642</v>
      </c>
      <c r="J1420" s="190" t="s">
        <v>1634</v>
      </c>
    </row>
    <row r="1421" spans="1:10" x14ac:dyDescent="0.2">
      <c r="A1421" s="213">
        <v>42579</v>
      </c>
      <c r="B1421" s="20" t="s">
        <v>127</v>
      </c>
      <c r="C1421" s="130"/>
      <c r="D1421" s="60">
        <v>376270713997</v>
      </c>
      <c r="E1421" s="113">
        <v>351215</v>
      </c>
      <c r="F1421" s="121"/>
      <c r="G1421" s="176">
        <f>16.1+46.86</f>
        <v>62.96</v>
      </c>
      <c r="H1421" s="131" t="s">
        <v>1643</v>
      </c>
      <c r="J1421" s="190" t="s">
        <v>1634</v>
      </c>
    </row>
    <row r="1422" spans="1:10" x14ac:dyDescent="0.2">
      <c r="A1422" s="213">
        <v>42579</v>
      </c>
      <c r="B1422" s="20" t="s">
        <v>127</v>
      </c>
      <c r="C1422" s="130"/>
      <c r="D1422" s="60">
        <v>376270713997</v>
      </c>
      <c r="E1422" s="113">
        <v>351215</v>
      </c>
      <c r="F1422" s="121"/>
      <c r="G1422" s="176">
        <f>11.25+18.75</f>
        <v>30</v>
      </c>
      <c r="H1422" s="131" t="s">
        <v>1644</v>
      </c>
      <c r="J1422" s="190" t="s">
        <v>1634</v>
      </c>
    </row>
    <row r="1423" spans="1:10" x14ac:dyDescent="0.2">
      <c r="A1423" s="213">
        <v>42580</v>
      </c>
      <c r="B1423" s="20" t="s">
        <v>127</v>
      </c>
      <c r="C1423" s="130"/>
      <c r="D1423" s="60">
        <v>376270713997</v>
      </c>
      <c r="E1423" s="113">
        <v>351215</v>
      </c>
      <c r="F1423" s="121"/>
      <c r="G1423" s="176">
        <f>38.48+86.8</f>
        <v>125.28</v>
      </c>
      <c r="H1423" s="131" t="s">
        <v>1645</v>
      </c>
      <c r="J1423" s="190" t="s">
        <v>1634</v>
      </c>
    </row>
    <row r="1424" spans="1:10" s="203" customFormat="1" x14ac:dyDescent="0.2">
      <c r="A1424" s="221" t="s">
        <v>1646</v>
      </c>
      <c r="B1424" s="216" t="s">
        <v>0</v>
      </c>
      <c r="C1424" s="203" t="s">
        <v>1964</v>
      </c>
      <c r="D1424" s="280" t="s">
        <v>1019</v>
      </c>
      <c r="E1424" s="68">
        <v>220059</v>
      </c>
      <c r="F1424" s="217" t="s">
        <v>1647</v>
      </c>
      <c r="G1424" s="218">
        <v>95.57</v>
      </c>
      <c r="J1424" s="295" t="s">
        <v>1648</v>
      </c>
    </row>
    <row r="1425" spans="1:11" x14ac:dyDescent="0.2">
      <c r="A1425" s="119" t="s">
        <v>1646</v>
      </c>
      <c r="B1425" s="115" t="s">
        <v>0</v>
      </c>
      <c r="D1425" s="191" t="s">
        <v>241</v>
      </c>
      <c r="E1425" s="113">
        <v>350531</v>
      </c>
      <c r="F1425" s="121"/>
      <c r="G1425" s="122">
        <v>51.34</v>
      </c>
      <c r="J1425" s="190" t="s">
        <v>1649</v>
      </c>
    </row>
    <row r="1426" spans="1:11" s="203" customFormat="1" x14ac:dyDescent="0.2">
      <c r="A1426" s="221" t="s">
        <v>1646</v>
      </c>
      <c r="B1426" s="216" t="s">
        <v>0</v>
      </c>
      <c r="C1426" s="203" t="s">
        <v>1964</v>
      </c>
      <c r="D1426" s="280" t="s">
        <v>1614</v>
      </c>
      <c r="E1426" s="68" t="s">
        <v>1650</v>
      </c>
      <c r="F1426" s="217"/>
      <c r="G1426" s="218">
        <v>132.83000000000001</v>
      </c>
      <c r="J1426" s="295" t="s">
        <v>246</v>
      </c>
    </row>
    <row r="1427" spans="1:11" s="203" customFormat="1" x14ac:dyDescent="0.2">
      <c r="A1427" s="221" t="s">
        <v>1646</v>
      </c>
      <c r="B1427" s="216" t="s">
        <v>0</v>
      </c>
      <c r="C1427" s="203" t="s">
        <v>1964</v>
      </c>
      <c r="D1427" s="280" t="s">
        <v>1551</v>
      </c>
      <c r="E1427" s="68" t="s">
        <v>1650</v>
      </c>
      <c r="F1427" s="217"/>
      <c r="G1427" s="218">
        <v>372.82</v>
      </c>
      <c r="J1427" s="295" t="s">
        <v>246</v>
      </c>
    </row>
    <row r="1428" spans="1:11" x14ac:dyDescent="0.2">
      <c r="A1428" s="213">
        <v>42582</v>
      </c>
      <c r="B1428" s="115" t="s">
        <v>127</v>
      </c>
      <c r="C1428" s="130"/>
      <c r="D1428" s="60">
        <v>376270713997</v>
      </c>
      <c r="E1428" s="29">
        <v>351215</v>
      </c>
      <c r="F1428" s="121"/>
      <c r="G1428" s="176">
        <v>52.11</v>
      </c>
      <c r="H1428" s="131" t="s">
        <v>1651</v>
      </c>
      <c r="J1428" s="190" t="s">
        <v>1652</v>
      </c>
    </row>
    <row r="1429" spans="1:11" s="203" customFormat="1" x14ac:dyDescent="0.2">
      <c r="A1429" s="215">
        <v>42582</v>
      </c>
      <c r="B1429" s="216" t="s">
        <v>127</v>
      </c>
      <c r="C1429" s="203" t="s">
        <v>151</v>
      </c>
      <c r="D1429" s="59">
        <v>221224755993</v>
      </c>
      <c r="E1429" s="68">
        <v>351775</v>
      </c>
      <c r="F1429" s="217"/>
      <c r="G1429" s="271">
        <v>205.95</v>
      </c>
      <c r="H1429" s="223" t="s">
        <v>1653</v>
      </c>
      <c r="J1429" s="295" t="s">
        <v>246</v>
      </c>
    </row>
    <row r="1430" spans="1:11" s="203" customFormat="1" x14ac:dyDescent="0.2">
      <c r="A1430" s="215">
        <v>42582</v>
      </c>
      <c r="B1430" s="216" t="s">
        <v>127</v>
      </c>
      <c r="C1430" s="203" t="s">
        <v>151</v>
      </c>
      <c r="D1430" s="59">
        <v>376273676993</v>
      </c>
      <c r="E1430" s="68">
        <v>352562</v>
      </c>
      <c r="F1430" s="217"/>
      <c r="G1430" s="271">
        <v>79.260000000000005</v>
      </c>
      <c r="H1430" s="223" t="s">
        <v>1654</v>
      </c>
      <c r="J1430" s="295" t="s">
        <v>246</v>
      </c>
    </row>
    <row r="1431" spans="1:11" x14ac:dyDescent="0.2">
      <c r="A1431" s="213">
        <v>42586</v>
      </c>
      <c r="B1431" s="115" t="s">
        <v>127</v>
      </c>
      <c r="C1431" s="19"/>
      <c r="D1431" s="60">
        <v>376238825990</v>
      </c>
      <c r="E1431" s="29">
        <v>226391</v>
      </c>
      <c r="F1431" s="121"/>
      <c r="G1431" s="176">
        <v>418.95</v>
      </c>
      <c r="H1431" s="131" t="s">
        <v>1655</v>
      </c>
      <c r="J1431" s="190" t="s">
        <v>1656</v>
      </c>
    </row>
    <row r="1432" spans="1:11" x14ac:dyDescent="0.2">
      <c r="A1432" s="213">
        <v>42583</v>
      </c>
      <c r="B1432" s="115" t="s">
        <v>127</v>
      </c>
      <c r="C1432" s="130"/>
      <c r="D1432" s="60">
        <v>376270713997</v>
      </c>
      <c r="E1432" s="29">
        <v>351215</v>
      </c>
      <c r="F1432" s="121"/>
      <c r="G1432" s="176">
        <v>56.7</v>
      </c>
      <c r="H1432" s="131" t="s">
        <v>1657</v>
      </c>
      <c r="J1432" s="190" t="s">
        <v>1658</v>
      </c>
      <c r="K1432" s="181"/>
    </row>
    <row r="1433" spans="1:11" x14ac:dyDescent="0.2">
      <c r="A1433" s="213">
        <v>42583</v>
      </c>
      <c r="B1433" s="115" t="s">
        <v>127</v>
      </c>
      <c r="C1433" s="130"/>
      <c r="D1433" s="60">
        <v>376270713997</v>
      </c>
      <c r="E1433" s="29">
        <v>351215</v>
      </c>
      <c r="F1433" s="121"/>
      <c r="G1433" s="176">
        <v>49.8</v>
      </c>
      <c r="H1433" s="131" t="s">
        <v>1659</v>
      </c>
      <c r="J1433" s="190" t="s">
        <v>1658</v>
      </c>
    </row>
    <row r="1434" spans="1:11" x14ac:dyDescent="0.2">
      <c r="A1434" s="213">
        <v>42583</v>
      </c>
      <c r="B1434" s="115" t="s">
        <v>127</v>
      </c>
      <c r="C1434" s="130"/>
      <c r="D1434" s="60">
        <v>376270713997</v>
      </c>
      <c r="E1434" s="29">
        <v>351215</v>
      </c>
      <c r="F1434" s="121"/>
      <c r="G1434" s="176">
        <v>55.8</v>
      </c>
      <c r="H1434" s="131" t="s">
        <v>1660</v>
      </c>
      <c r="J1434" s="190" t="s">
        <v>1658</v>
      </c>
    </row>
    <row r="1435" spans="1:11" x14ac:dyDescent="0.2">
      <c r="A1435" s="213">
        <v>42583</v>
      </c>
      <c r="B1435" s="115" t="s">
        <v>127</v>
      </c>
      <c r="C1435" s="130"/>
      <c r="D1435" s="60">
        <v>376270713997</v>
      </c>
      <c r="E1435" s="29">
        <v>351215</v>
      </c>
      <c r="F1435" s="121"/>
      <c r="G1435" s="176">
        <v>139.19999999999999</v>
      </c>
      <c r="H1435" s="131" t="s">
        <v>1661</v>
      </c>
      <c r="J1435" s="190" t="s">
        <v>1658</v>
      </c>
    </row>
    <row r="1436" spans="1:11" x14ac:dyDescent="0.2">
      <c r="A1436" s="213">
        <v>42583</v>
      </c>
      <c r="B1436" s="115" t="s">
        <v>127</v>
      </c>
      <c r="C1436" s="130"/>
      <c r="D1436" s="60">
        <v>376270713997</v>
      </c>
      <c r="E1436" s="29">
        <v>351215</v>
      </c>
      <c r="F1436" s="121"/>
      <c r="G1436" s="176">
        <v>67</v>
      </c>
      <c r="H1436" s="131" t="s">
        <v>1662</v>
      </c>
      <c r="J1436" s="190" t="s">
        <v>1658</v>
      </c>
    </row>
    <row r="1437" spans="1:11" x14ac:dyDescent="0.2">
      <c r="A1437" s="213">
        <v>42583</v>
      </c>
      <c r="B1437" s="115" t="s">
        <v>127</v>
      </c>
      <c r="C1437" s="130"/>
      <c r="D1437" s="60">
        <v>376270713997</v>
      </c>
      <c r="E1437" s="29">
        <v>351215</v>
      </c>
      <c r="F1437" s="121"/>
      <c r="G1437" s="176">
        <v>65.099999999999994</v>
      </c>
      <c r="H1437" s="131" t="s">
        <v>1663</v>
      </c>
      <c r="J1437" s="190" t="s">
        <v>1658</v>
      </c>
    </row>
    <row r="1438" spans="1:11" x14ac:dyDescent="0.2">
      <c r="A1438" s="213">
        <v>42583</v>
      </c>
      <c r="B1438" s="115" t="s">
        <v>127</v>
      </c>
      <c r="C1438" s="130"/>
      <c r="D1438" s="60">
        <v>376270713997</v>
      </c>
      <c r="E1438" s="29">
        <v>351215</v>
      </c>
      <c r="F1438" s="121"/>
      <c r="G1438" s="176">
        <v>60</v>
      </c>
      <c r="H1438" s="131" t="s">
        <v>1664</v>
      </c>
      <c r="J1438" s="190" t="s">
        <v>1658</v>
      </c>
    </row>
    <row r="1439" spans="1:11" x14ac:dyDescent="0.2">
      <c r="A1439" s="213">
        <v>42583</v>
      </c>
      <c r="B1439" s="115" t="s">
        <v>127</v>
      </c>
      <c r="C1439" s="130"/>
      <c r="D1439" s="60">
        <v>376270713997</v>
      </c>
      <c r="E1439" s="29">
        <v>351215</v>
      </c>
      <c r="F1439" s="121"/>
      <c r="G1439" s="176">
        <v>55</v>
      </c>
      <c r="H1439" s="131" t="s">
        <v>1665</v>
      </c>
      <c r="J1439" s="190" t="s">
        <v>1658</v>
      </c>
    </row>
    <row r="1440" spans="1:11" x14ac:dyDescent="0.2">
      <c r="A1440" s="213">
        <v>42583</v>
      </c>
      <c r="B1440" s="115" t="s">
        <v>127</v>
      </c>
      <c r="C1440" s="130"/>
      <c r="D1440" s="60">
        <v>376270713997</v>
      </c>
      <c r="E1440" s="29">
        <v>351215</v>
      </c>
      <c r="F1440" s="121"/>
      <c r="G1440" s="176">
        <v>56.7</v>
      </c>
      <c r="H1440" s="131" t="s">
        <v>1666</v>
      </c>
      <c r="J1440" s="190" t="s">
        <v>1658</v>
      </c>
    </row>
    <row r="1441" spans="1:12" x14ac:dyDescent="0.2">
      <c r="A1441" s="213">
        <v>42583</v>
      </c>
      <c r="B1441" s="115" t="s">
        <v>127</v>
      </c>
      <c r="C1441" s="130"/>
      <c r="D1441" s="60">
        <v>376270713997</v>
      </c>
      <c r="E1441" s="29">
        <v>351215</v>
      </c>
      <c r="F1441" s="121"/>
      <c r="G1441" s="176">
        <v>51.16</v>
      </c>
      <c r="H1441" s="131" t="s">
        <v>1667</v>
      </c>
      <c r="J1441" s="190" t="s">
        <v>1658</v>
      </c>
    </row>
    <row r="1442" spans="1:12" x14ac:dyDescent="0.2">
      <c r="A1442" s="213">
        <v>42583</v>
      </c>
      <c r="B1442" s="115" t="s">
        <v>127</v>
      </c>
      <c r="C1442" s="130"/>
      <c r="D1442" s="60">
        <v>376270713997</v>
      </c>
      <c r="E1442" s="29">
        <v>351215</v>
      </c>
      <c r="F1442" s="121"/>
      <c r="G1442" s="176">
        <v>56.98</v>
      </c>
      <c r="H1442" s="131" t="s">
        <v>1668</v>
      </c>
      <c r="J1442" s="190" t="s">
        <v>1658</v>
      </c>
    </row>
    <row r="1443" spans="1:12" s="203" customFormat="1" x14ac:dyDescent="0.2">
      <c r="A1443" s="221" t="s">
        <v>1947</v>
      </c>
      <c r="B1443" s="216" t="s">
        <v>121</v>
      </c>
      <c r="C1443" s="203" t="s">
        <v>209</v>
      </c>
      <c r="D1443" s="280" t="s">
        <v>1669</v>
      </c>
      <c r="E1443" s="68">
        <v>212620</v>
      </c>
      <c r="F1443" s="217" t="s">
        <v>1670</v>
      </c>
      <c r="G1443" s="218">
        <v>40.9</v>
      </c>
      <c r="J1443" s="295" t="s">
        <v>246</v>
      </c>
    </row>
    <row r="1444" spans="1:12" s="203" customFormat="1" x14ac:dyDescent="0.2">
      <c r="A1444" s="221" t="s">
        <v>1947</v>
      </c>
      <c r="B1444" s="216" t="s">
        <v>121</v>
      </c>
      <c r="C1444" s="203" t="s">
        <v>209</v>
      </c>
      <c r="D1444" s="280" t="s">
        <v>1671</v>
      </c>
      <c r="E1444" s="68">
        <v>214427</v>
      </c>
      <c r="F1444" s="217" t="s">
        <v>1672</v>
      </c>
      <c r="G1444" s="218">
        <v>43.95</v>
      </c>
      <c r="J1444" s="295" t="s">
        <v>246</v>
      </c>
    </row>
    <row r="1445" spans="1:12" s="203" customFormat="1" x14ac:dyDescent="0.2">
      <c r="A1445" s="221" t="s">
        <v>1947</v>
      </c>
      <c r="B1445" s="216" t="s">
        <v>121</v>
      </c>
      <c r="C1445" s="203" t="s">
        <v>209</v>
      </c>
      <c r="D1445" s="280" t="s">
        <v>1673</v>
      </c>
      <c r="E1445" s="68">
        <v>351960</v>
      </c>
      <c r="F1445" s="217" t="s">
        <v>1674</v>
      </c>
      <c r="G1445" s="218">
        <v>130.53</v>
      </c>
      <c r="J1445" s="295" t="s">
        <v>246</v>
      </c>
    </row>
    <row r="1446" spans="1:12" s="203" customFormat="1" x14ac:dyDescent="0.2">
      <c r="A1446" s="221" t="s">
        <v>1947</v>
      </c>
      <c r="B1446" s="216" t="s">
        <v>121</v>
      </c>
      <c r="C1446" s="203" t="s">
        <v>209</v>
      </c>
      <c r="D1446" s="280" t="s">
        <v>1370</v>
      </c>
      <c r="E1446" s="68">
        <v>351162</v>
      </c>
      <c r="F1446" s="217" t="s">
        <v>1675</v>
      </c>
      <c r="G1446" s="218">
        <v>156.79</v>
      </c>
      <c r="J1446" s="295" t="s">
        <v>246</v>
      </c>
    </row>
    <row r="1447" spans="1:12" s="203" customFormat="1" x14ac:dyDescent="0.2">
      <c r="A1447" s="221" t="s">
        <v>1947</v>
      </c>
      <c r="B1447" s="216" t="s">
        <v>121</v>
      </c>
      <c r="C1447" s="203" t="s">
        <v>209</v>
      </c>
      <c r="D1447" s="280" t="s">
        <v>1676</v>
      </c>
      <c r="E1447" s="68">
        <v>352248</v>
      </c>
      <c r="F1447" s="217"/>
      <c r="G1447" s="218">
        <v>89.1</v>
      </c>
      <c r="J1447" s="295" t="s">
        <v>246</v>
      </c>
    </row>
    <row r="1448" spans="1:12" s="203" customFormat="1" x14ac:dyDescent="0.2">
      <c r="A1448" s="221" t="s">
        <v>1947</v>
      </c>
      <c r="B1448" s="216" t="s">
        <v>121</v>
      </c>
      <c r="C1448" s="203" t="s">
        <v>209</v>
      </c>
      <c r="D1448" s="280" t="s">
        <v>1677</v>
      </c>
      <c r="E1448" s="68">
        <v>350432</v>
      </c>
      <c r="F1448" s="217" t="s">
        <v>1678</v>
      </c>
      <c r="G1448" s="218">
        <v>448.22</v>
      </c>
      <c r="J1448" s="295" t="s">
        <v>246</v>
      </c>
    </row>
    <row r="1449" spans="1:12" x14ac:dyDescent="0.2">
      <c r="A1449" s="213">
        <v>42591</v>
      </c>
      <c r="B1449" s="20" t="s">
        <v>127</v>
      </c>
      <c r="C1449" s="130"/>
      <c r="D1449" s="60">
        <v>376238825990</v>
      </c>
      <c r="E1449" s="29">
        <v>201228</v>
      </c>
      <c r="F1449" s="121"/>
      <c r="G1449" s="176">
        <f>16.23+75.64</f>
        <v>91.87</v>
      </c>
      <c r="H1449" s="134" t="s">
        <v>1679</v>
      </c>
      <c r="J1449" s="180" t="s">
        <v>1656</v>
      </c>
      <c r="K1449" s="124"/>
      <c r="L1449" s="124"/>
    </row>
    <row r="1450" spans="1:12" x14ac:dyDescent="0.2">
      <c r="A1450" s="213">
        <v>42591</v>
      </c>
      <c r="B1450" s="20" t="s">
        <v>127</v>
      </c>
      <c r="C1450" s="130"/>
      <c r="D1450" s="60">
        <v>376238825990</v>
      </c>
      <c r="E1450" s="29">
        <v>201228</v>
      </c>
      <c r="F1450" s="121"/>
      <c r="G1450" s="176">
        <f>9.42+62.9</f>
        <v>72.319999999999993</v>
      </c>
      <c r="H1450" s="134" t="s">
        <v>1680</v>
      </c>
      <c r="J1450" s="180" t="s">
        <v>1656</v>
      </c>
    </row>
    <row r="1451" spans="1:12" x14ac:dyDescent="0.2">
      <c r="A1451" s="213">
        <v>42591</v>
      </c>
      <c r="B1451" s="20" t="s">
        <v>127</v>
      </c>
      <c r="C1451" s="130"/>
      <c r="D1451" s="60">
        <v>376238825990</v>
      </c>
      <c r="E1451" s="29">
        <v>201228</v>
      </c>
      <c r="F1451" s="121"/>
      <c r="G1451" s="176">
        <f>7+40.5</f>
        <v>47.5</v>
      </c>
      <c r="H1451" s="134" t="s">
        <v>1681</v>
      </c>
      <c r="J1451" s="180" t="s">
        <v>1656</v>
      </c>
    </row>
    <row r="1452" spans="1:12" x14ac:dyDescent="0.2">
      <c r="A1452" s="213">
        <v>42591</v>
      </c>
      <c r="B1452" s="20" t="s">
        <v>127</v>
      </c>
      <c r="C1452" s="130"/>
      <c r="D1452" s="60">
        <v>376238825990</v>
      </c>
      <c r="E1452" s="29">
        <v>201228</v>
      </c>
      <c r="F1452" s="121"/>
      <c r="G1452" s="176">
        <f>26.62+121.71</f>
        <v>148.32999999999998</v>
      </c>
      <c r="H1452" s="134" t="s">
        <v>1682</v>
      </c>
      <c r="J1452" s="180" t="s">
        <v>1656</v>
      </c>
    </row>
    <row r="1453" spans="1:12" x14ac:dyDescent="0.2">
      <c r="A1453" s="213">
        <v>42591</v>
      </c>
      <c r="B1453" s="20" t="s">
        <v>127</v>
      </c>
      <c r="C1453" s="130"/>
      <c r="D1453" s="60">
        <v>376238825990</v>
      </c>
      <c r="E1453" s="29">
        <v>201228</v>
      </c>
      <c r="F1453" s="121"/>
      <c r="G1453" s="176">
        <f>10.02+43.3</f>
        <v>53.319999999999993</v>
      </c>
      <c r="H1453" s="134" t="s">
        <v>1683</v>
      </c>
      <c r="J1453" s="180" t="s">
        <v>1656</v>
      </c>
    </row>
    <row r="1454" spans="1:12" x14ac:dyDescent="0.2">
      <c r="A1454" s="213">
        <v>42592</v>
      </c>
      <c r="B1454" s="20" t="s">
        <v>127</v>
      </c>
      <c r="C1454" s="130"/>
      <c r="D1454" s="60">
        <v>376238825990</v>
      </c>
      <c r="E1454" s="29">
        <v>201228</v>
      </c>
      <c r="F1454" s="121"/>
      <c r="G1454" s="176">
        <f>40.3+156.46</f>
        <v>196.76</v>
      </c>
      <c r="H1454" s="134" t="s">
        <v>1684</v>
      </c>
      <c r="J1454" s="180" t="s">
        <v>1656</v>
      </c>
    </row>
    <row r="1455" spans="1:12" x14ac:dyDescent="0.2">
      <c r="A1455" s="213">
        <v>42592</v>
      </c>
      <c r="B1455" s="20" t="s">
        <v>127</v>
      </c>
      <c r="C1455" s="130"/>
      <c r="D1455" s="60">
        <v>376238825990</v>
      </c>
      <c r="E1455" s="29">
        <v>201228</v>
      </c>
      <c r="F1455" s="121"/>
      <c r="G1455" s="176">
        <f>6.38+32.78</f>
        <v>39.160000000000004</v>
      </c>
      <c r="H1455" s="134" t="s">
        <v>1685</v>
      </c>
      <c r="J1455" s="180" t="s">
        <v>1656</v>
      </c>
    </row>
    <row r="1456" spans="1:12" x14ac:dyDescent="0.2">
      <c r="A1456" s="213">
        <v>42593</v>
      </c>
      <c r="B1456" s="20" t="s">
        <v>127</v>
      </c>
      <c r="C1456" s="130"/>
      <c r="D1456" s="60">
        <v>376238825990</v>
      </c>
      <c r="E1456" s="29">
        <v>201228</v>
      </c>
      <c r="F1456" s="121"/>
      <c r="G1456" s="176">
        <f>19.21+69.74</f>
        <v>88.949999999999989</v>
      </c>
      <c r="H1456" s="134" t="s">
        <v>1686</v>
      </c>
      <c r="J1456" s="180" t="s">
        <v>1656</v>
      </c>
    </row>
    <row r="1457" spans="1:10" x14ac:dyDescent="0.2">
      <c r="A1457" s="213">
        <v>42593</v>
      </c>
      <c r="B1457" s="20" t="s">
        <v>127</v>
      </c>
      <c r="C1457" s="130"/>
      <c r="D1457" s="60">
        <v>376238825990</v>
      </c>
      <c r="E1457" s="29">
        <v>201228</v>
      </c>
      <c r="F1457" s="121"/>
      <c r="G1457" s="176">
        <f>12.15+83.87</f>
        <v>96.02000000000001</v>
      </c>
      <c r="H1457" s="134" t="s">
        <v>1687</v>
      </c>
      <c r="J1457" s="180" t="s">
        <v>1656</v>
      </c>
    </row>
    <row r="1458" spans="1:10" x14ac:dyDescent="0.2">
      <c r="A1458" s="213">
        <v>42594</v>
      </c>
      <c r="B1458" s="20" t="s">
        <v>127</v>
      </c>
      <c r="C1458" s="130"/>
      <c r="D1458" s="60">
        <v>376238825990</v>
      </c>
      <c r="E1458" s="29">
        <v>201228</v>
      </c>
      <c r="F1458" s="121"/>
      <c r="G1458" s="176">
        <f>35.52+72.43</f>
        <v>107.95000000000002</v>
      </c>
      <c r="H1458" s="134" t="s">
        <v>1688</v>
      </c>
      <c r="J1458" s="180" t="s">
        <v>1656</v>
      </c>
    </row>
    <row r="1459" spans="1:10" x14ac:dyDescent="0.2">
      <c r="A1459" s="213">
        <v>42594</v>
      </c>
      <c r="B1459" s="20" t="s">
        <v>127</v>
      </c>
      <c r="C1459" s="130"/>
      <c r="D1459" s="60">
        <v>376238825990</v>
      </c>
      <c r="E1459" s="29">
        <v>201228</v>
      </c>
      <c r="F1459" s="121"/>
      <c r="G1459" s="176">
        <f>34.84+161.52</f>
        <v>196.36</v>
      </c>
      <c r="H1459" s="134" t="s">
        <v>1689</v>
      </c>
      <c r="J1459" s="180" t="s">
        <v>1656</v>
      </c>
    </row>
    <row r="1460" spans="1:10" x14ac:dyDescent="0.2">
      <c r="A1460" s="213">
        <v>42594</v>
      </c>
      <c r="B1460" s="20" t="s">
        <v>127</v>
      </c>
      <c r="C1460" s="130"/>
      <c r="D1460" s="60">
        <v>376238825990</v>
      </c>
      <c r="E1460" s="29">
        <v>201228</v>
      </c>
      <c r="F1460" s="121"/>
      <c r="G1460" s="176">
        <f>59.18+156.67</f>
        <v>215.85</v>
      </c>
      <c r="H1460" s="134" t="s">
        <v>1690</v>
      </c>
      <c r="J1460" s="180" t="s">
        <v>1656</v>
      </c>
    </row>
    <row r="1461" spans="1:10" x14ac:dyDescent="0.2">
      <c r="A1461" s="213">
        <v>42594</v>
      </c>
      <c r="B1461" s="20" t="s">
        <v>127</v>
      </c>
      <c r="C1461" s="130"/>
      <c r="D1461" s="60">
        <v>376238825990</v>
      </c>
      <c r="E1461" s="29">
        <v>201228</v>
      </c>
      <c r="F1461" s="121"/>
      <c r="G1461" s="176">
        <f>42.78+169.17</f>
        <v>211.95</v>
      </c>
      <c r="H1461" s="134" t="s">
        <v>1691</v>
      </c>
      <c r="J1461" s="180" t="s">
        <v>1656</v>
      </c>
    </row>
    <row r="1462" spans="1:10" x14ac:dyDescent="0.2">
      <c r="A1462" s="213">
        <v>42594</v>
      </c>
      <c r="B1462" s="20" t="s">
        <v>127</v>
      </c>
      <c r="C1462" s="130"/>
      <c r="D1462" s="60">
        <v>376238825990</v>
      </c>
      <c r="E1462" s="29">
        <v>201228</v>
      </c>
      <c r="F1462" s="121"/>
      <c r="G1462" s="176">
        <f>8.86+28.04</f>
        <v>36.9</v>
      </c>
      <c r="H1462" s="134" t="s">
        <v>1692</v>
      </c>
      <c r="J1462" s="180" t="s">
        <v>1656</v>
      </c>
    </row>
    <row r="1463" spans="1:10" x14ac:dyDescent="0.2">
      <c r="A1463" s="213">
        <v>42589</v>
      </c>
      <c r="B1463" s="20" t="s">
        <v>127</v>
      </c>
      <c r="C1463" s="130"/>
      <c r="D1463" s="60">
        <v>376270713997</v>
      </c>
      <c r="E1463" s="29">
        <v>351215</v>
      </c>
      <c r="F1463" s="121"/>
      <c r="G1463" s="176">
        <v>291.8</v>
      </c>
      <c r="H1463" s="134" t="s">
        <v>1693</v>
      </c>
      <c r="J1463" s="192" t="s">
        <v>1694</v>
      </c>
    </row>
    <row r="1464" spans="1:10" x14ac:dyDescent="0.2">
      <c r="A1464" s="213">
        <v>42590</v>
      </c>
      <c r="B1464" s="20" t="s">
        <v>127</v>
      </c>
      <c r="C1464" s="130"/>
      <c r="D1464" s="60">
        <v>376270713997</v>
      </c>
      <c r="E1464" s="29">
        <v>351215</v>
      </c>
      <c r="F1464" s="121"/>
      <c r="G1464" s="176">
        <v>55.59</v>
      </c>
      <c r="H1464" s="134" t="s">
        <v>1695</v>
      </c>
      <c r="J1464" s="192" t="s">
        <v>1694</v>
      </c>
    </row>
    <row r="1465" spans="1:10" x14ac:dyDescent="0.2">
      <c r="A1465" s="213">
        <v>42590</v>
      </c>
      <c r="B1465" s="20" t="s">
        <v>127</v>
      </c>
      <c r="C1465" s="130"/>
      <c r="D1465" s="60">
        <v>376270713997</v>
      </c>
      <c r="E1465" s="29">
        <v>351215</v>
      </c>
      <c r="F1465" s="121"/>
      <c r="G1465" s="176">
        <v>17.95</v>
      </c>
      <c r="H1465" s="134" t="s">
        <v>1696</v>
      </c>
      <c r="J1465" s="192" t="s">
        <v>1694</v>
      </c>
    </row>
    <row r="1466" spans="1:10" x14ac:dyDescent="0.2">
      <c r="A1466" s="213">
        <v>42590</v>
      </c>
      <c r="B1466" s="20" t="s">
        <v>127</v>
      </c>
      <c r="C1466" s="130"/>
      <c r="D1466" s="60">
        <v>376270713997</v>
      </c>
      <c r="E1466" s="29">
        <v>351215</v>
      </c>
      <c r="F1466" s="121"/>
      <c r="G1466" s="176">
        <v>90.93</v>
      </c>
      <c r="H1466" s="134" t="s">
        <v>1697</v>
      </c>
      <c r="J1466" s="192" t="s">
        <v>1694</v>
      </c>
    </row>
    <row r="1467" spans="1:10" x14ac:dyDescent="0.2">
      <c r="A1467" s="213">
        <v>42590</v>
      </c>
      <c r="B1467" s="20" t="s">
        <v>127</v>
      </c>
      <c r="C1467" s="130"/>
      <c r="D1467" s="60">
        <v>376270713997</v>
      </c>
      <c r="E1467" s="29">
        <v>351215</v>
      </c>
      <c r="F1467" s="121"/>
      <c r="G1467" s="176">
        <v>163.9</v>
      </c>
      <c r="H1467" s="134" t="s">
        <v>1698</v>
      </c>
      <c r="J1467" s="192" t="s">
        <v>1694</v>
      </c>
    </row>
    <row r="1468" spans="1:10" x14ac:dyDescent="0.2">
      <c r="A1468" s="213">
        <v>42592</v>
      </c>
      <c r="B1468" s="20" t="s">
        <v>127</v>
      </c>
      <c r="C1468" s="130"/>
      <c r="D1468" s="60">
        <v>376270713997</v>
      </c>
      <c r="E1468" s="29">
        <v>351215</v>
      </c>
      <c r="F1468" s="121"/>
      <c r="G1468" s="176">
        <v>128</v>
      </c>
      <c r="H1468" s="134" t="s">
        <v>1699</v>
      </c>
      <c r="J1468" s="192" t="s">
        <v>1694</v>
      </c>
    </row>
    <row r="1469" spans="1:10" x14ac:dyDescent="0.2">
      <c r="A1469" s="213">
        <v>42592</v>
      </c>
      <c r="B1469" s="20" t="s">
        <v>127</v>
      </c>
      <c r="C1469" s="130"/>
      <c r="D1469" s="60">
        <v>376270713997</v>
      </c>
      <c r="E1469" s="29">
        <v>351215</v>
      </c>
      <c r="F1469" s="121"/>
      <c r="G1469" s="176">
        <v>147.94</v>
      </c>
      <c r="H1469" s="134" t="s">
        <v>1700</v>
      </c>
      <c r="J1469" s="192" t="s">
        <v>1694</v>
      </c>
    </row>
    <row r="1470" spans="1:10" x14ac:dyDescent="0.2">
      <c r="A1470" s="213">
        <v>42592</v>
      </c>
      <c r="B1470" s="20" t="s">
        <v>127</v>
      </c>
      <c r="C1470" s="130"/>
      <c r="D1470" s="60">
        <v>376270713997</v>
      </c>
      <c r="E1470" s="29">
        <v>351215</v>
      </c>
      <c r="F1470" s="121"/>
      <c r="G1470" s="176">
        <v>48.82</v>
      </c>
      <c r="H1470" s="134" t="s">
        <v>1701</v>
      </c>
      <c r="J1470" s="192" t="s">
        <v>1694</v>
      </c>
    </row>
    <row r="1471" spans="1:10" x14ac:dyDescent="0.2">
      <c r="A1471" s="213">
        <v>42593</v>
      </c>
      <c r="B1471" s="20" t="s">
        <v>127</v>
      </c>
      <c r="C1471" s="130"/>
      <c r="D1471" s="60">
        <v>376270713997</v>
      </c>
      <c r="E1471" s="29">
        <v>351215</v>
      </c>
      <c r="F1471" s="121"/>
      <c r="G1471" s="176">
        <v>122.47</v>
      </c>
      <c r="H1471" s="134" t="s">
        <v>1702</v>
      </c>
      <c r="J1471" s="192" t="s">
        <v>1694</v>
      </c>
    </row>
    <row r="1472" spans="1:10" x14ac:dyDescent="0.2">
      <c r="A1472" s="213">
        <v>42593</v>
      </c>
      <c r="B1472" s="20" t="s">
        <v>127</v>
      </c>
      <c r="C1472" s="130"/>
      <c r="D1472" s="60">
        <v>376270713997</v>
      </c>
      <c r="E1472" s="29">
        <v>351215</v>
      </c>
      <c r="F1472" s="121"/>
      <c r="G1472" s="176">
        <v>42.5</v>
      </c>
      <c r="H1472" s="134" t="s">
        <v>1703</v>
      </c>
      <c r="J1472" s="192" t="s">
        <v>1694</v>
      </c>
    </row>
    <row r="1473" spans="1:11" x14ac:dyDescent="0.2">
      <c r="A1473" s="213">
        <v>42593</v>
      </c>
      <c r="B1473" s="20" t="s">
        <v>127</v>
      </c>
      <c r="C1473" s="130"/>
      <c r="D1473" s="60">
        <v>376270713997</v>
      </c>
      <c r="E1473" s="29">
        <v>351215</v>
      </c>
      <c r="F1473" s="121"/>
      <c r="G1473" s="176">
        <v>30.85</v>
      </c>
      <c r="H1473" s="134" t="s">
        <v>1704</v>
      </c>
      <c r="J1473" s="192" t="s">
        <v>1694</v>
      </c>
    </row>
    <row r="1474" spans="1:11" x14ac:dyDescent="0.2">
      <c r="A1474" s="213">
        <v>42594</v>
      </c>
      <c r="B1474" s="20" t="s">
        <v>127</v>
      </c>
      <c r="C1474" s="130"/>
      <c r="D1474" s="60">
        <v>376270713997</v>
      </c>
      <c r="E1474" s="29">
        <v>351215</v>
      </c>
      <c r="F1474" s="121"/>
      <c r="G1474" s="176">
        <v>51.36</v>
      </c>
      <c r="H1474" s="134" t="s">
        <v>1705</v>
      </c>
      <c r="J1474" s="192" t="s">
        <v>1694</v>
      </c>
    </row>
    <row r="1475" spans="1:11" x14ac:dyDescent="0.2">
      <c r="A1475" s="213">
        <v>42594</v>
      </c>
      <c r="B1475" s="20" t="s">
        <v>127</v>
      </c>
      <c r="C1475" s="130"/>
      <c r="D1475" s="60">
        <v>376270713997</v>
      </c>
      <c r="E1475" s="29">
        <v>351215</v>
      </c>
      <c r="F1475" s="121"/>
      <c r="G1475" s="176">
        <v>165.02</v>
      </c>
      <c r="H1475" s="134" t="s">
        <v>1706</v>
      </c>
      <c r="J1475" s="192" t="s">
        <v>1694</v>
      </c>
    </row>
    <row r="1476" spans="1:11" x14ac:dyDescent="0.2">
      <c r="A1476" s="213">
        <v>42594</v>
      </c>
      <c r="B1476" s="20" t="s">
        <v>127</v>
      </c>
      <c r="C1476" s="130"/>
      <c r="D1476" s="60">
        <v>376270713997</v>
      </c>
      <c r="E1476" s="29">
        <v>351215</v>
      </c>
      <c r="F1476" s="121"/>
      <c r="G1476" s="176">
        <v>28.5</v>
      </c>
      <c r="H1476" s="134" t="s">
        <v>1707</v>
      </c>
      <c r="J1476" s="192" t="s">
        <v>1694</v>
      </c>
    </row>
    <row r="1477" spans="1:11" x14ac:dyDescent="0.2">
      <c r="A1477" s="213">
        <v>42594</v>
      </c>
      <c r="B1477" s="20" t="s">
        <v>127</v>
      </c>
      <c r="C1477" s="130"/>
      <c r="D1477" s="60">
        <v>376270713997</v>
      </c>
      <c r="E1477" s="29">
        <v>351215</v>
      </c>
      <c r="F1477" s="121"/>
      <c r="G1477" s="176">
        <v>196.1</v>
      </c>
      <c r="H1477" s="134" t="s">
        <v>1708</v>
      </c>
      <c r="J1477" s="192" t="s">
        <v>1694</v>
      </c>
    </row>
    <row r="1478" spans="1:11" x14ac:dyDescent="0.2">
      <c r="A1478" s="213">
        <v>42594</v>
      </c>
      <c r="B1478" s="20" t="s">
        <v>127</v>
      </c>
      <c r="C1478" s="130"/>
      <c r="D1478" s="60">
        <v>376270713997</v>
      </c>
      <c r="E1478" s="29">
        <v>351215</v>
      </c>
      <c r="F1478" s="121"/>
      <c r="G1478" s="176">
        <v>58</v>
      </c>
      <c r="H1478" s="134" t="s">
        <v>1709</v>
      </c>
      <c r="J1478" s="192" t="s">
        <v>1694</v>
      </c>
    </row>
    <row r="1479" spans="1:11" s="203" customFormat="1" x14ac:dyDescent="0.2">
      <c r="A1479" s="221" t="s">
        <v>1948</v>
      </c>
      <c r="B1479" s="216" t="s">
        <v>121</v>
      </c>
      <c r="C1479" s="203" t="s">
        <v>209</v>
      </c>
      <c r="D1479" s="272" t="s">
        <v>1710</v>
      </c>
      <c r="E1479" s="68">
        <v>351488</v>
      </c>
      <c r="F1479" s="217" t="s">
        <v>1711</v>
      </c>
      <c r="G1479" s="218">
        <v>53</v>
      </c>
      <c r="J1479" s="296" t="s">
        <v>246</v>
      </c>
    </row>
    <row r="1480" spans="1:11" s="203" customFormat="1" x14ac:dyDescent="0.2">
      <c r="A1480" s="221" t="s">
        <v>1948</v>
      </c>
      <c r="B1480" s="216" t="s">
        <v>121</v>
      </c>
      <c r="C1480" s="203" t="s">
        <v>209</v>
      </c>
      <c r="D1480" s="272" t="s">
        <v>1512</v>
      </c>
      <c r="E1480" s="68">
        <v>351207</v>
      </c>
      <c r="F1480" s="217" t="s">
        <v>1712</v>
      </c>
      <c r="G1480" s="218">
        <v>23.13</v>
      </c>
      <c r="J1480" s="296" t="s">
        <v>246</v>
      </c>
    </row>
    <row r="1481" spans="1:11" x14ac:dyDescent="0.2">
      <c r="A1481" s="213">
        <v>42599</v>
      </c>
      <c r="B1481" s="20" t="s">
        <v>127</v>
      </c>
      <c r="C1481" s="130"/>
      <c r="D1481" s="60">
        <v>376238825990</v>
      </c>
      <c r="E1481" s="29">
        <v>201228</v>
      </c>
      <c r="F1481" s="121"/>
      <c r="G1481" s="176">
        <f>27.67+85.61</f>
        <v>113.28</v>
      </c>
      <c r="H1481" s="131" t="s">
        <v>1713</v>
      </c>
      <c r="J1481" s="190" t="s">
        <v>1714</v>
      </c>
      <c r="K1481" s="181"/>
    </row>
    <row r="1482" spans="1:11" x14ac:dyDescent="0.2">
      <c r="A1482" s="213">
        <v>42599</v>
      </c>
      <c r="B1482" s="20" t="s">
        <v>127</v>
      </c>
      <c r="C1482" s="130"/>
      <c r="D1482" s="60">
        <v>376238825990</v>
      </c>
      <c r="E1482" s="29">
        <v>201228</v>
      </c>
      <c r="F1482" s="121"/>
      <c r="G1482" s="176">
        <f>8+54</f>
        <v>62</v>
      </c>
      <c r="H1482" s="131" t="s">
        <v>1715</v>
      </c>
      <c r="J1482" s="190" t="s">
        <v>1714</v>
      </c>
    </row>
    <row r="1483" spans="1:11" x14ac:dyDescent="0.2">
      <c r="A1483" s="213">
        <v>42599</v>
      </c>
      <c r="B1483" s="20" t="s">
        <v>127</v>
      </c>
      <c r="C1483" s="130"/>
      <c r="D1483" s="60">
        <v>376238825990</v>
      </c>
      <c r="E1483" s="29">
        <v>201228</v>
      </c>
      <c r="F1483" s="121"/>
      <c r="G1483" s="176">
        <f>8+36.9</f>
        <v>44.9</v>
      </c>
      <c r="H1483" s="131" t="s">
        <v>1716</v>
      </c>
      <c r="J1483" s="190" t="s">
        <v>1714</v>
      </c>
    </row>
    <row r="1484" spans="1:11" x14ac:dyDescent="0.2">
      <c r="A1484" s="213">
        <v>42599</v>
      </c>
      <c r="B1484" s="20" t="s">
        <v>127</v>
      </c>
      <c r="C1484" s="130"/>
      <c r="D1484" s="60">
        <v>376238825990</v>
      </c>
      <c r="E1484" s="29">
        <v>201228</v>
      </c>
      <c r="F1484" s="121"/>
      <c r="G1484" s="176">
        <f>4.54+19.89</f>
        <v>24.43</v>
      </c>
      <c r="H1484" s="131" t="s">
        <v>1717</v>
      </c>
      <c r="J1484" s="190" t="s">
        <v>1714</v>
      </c>
    </row>
    <row r="1485" spans="1:11" x14ac:dyDescent="0.2">
      <c r="A1485" s="213">
        <v>42599</v>
      </c>
      <c r="B1485" s="20" t="s">
        <v>127</v>
      </c>
      <c r="C1485" s="130"/>
      <c r="D1485" s="60">
        <v>376238825990</v>
      </c>
      <c r="E1485" s="29">
        <v>201228</v>
      </c>
      <c r="F1485" s="121"/>
      <c r="G1485" s="176">
        <f>18.68+60.04</f>
        <v>78.72</v>
      </c>
      <c r="H1485" s="131" t="s">
        <v>1718</v>
      </c>
      <c r="J1485" s="190" t="s">
        <v>1714</v>
      </c>
    </row>
    <row r="1486" spans="1:11" x14ac:dyDescent="0.2">
      <c r="A1486" s="213">
        <v>42599</v>
      </c>
      <c r="B1486" s="20" t="s">
        <v>127</v>
      </c>
      <c r="C1486" s="130"/>
      <c r="D1486" s="60">
        <v>376238825990</v>
      </c>
      <c r="E1486" s="29">
        <v>201228</v>
      </c>
      <c r="F1486" s="121"/>
      <c r="G1486" s="176">
        <f>35.28+122.67</f>
        <v>157.94999999999999</v>
      </c>
      <c r="H1486" s="131" t="s">
        <v>1719</v>
      </c>
      <c r="J1486" s="190" t="s">
        <v>1714</v>
      </c>
    </row>
    <row r="1487" spans="1:11" x14ac:dyDescent="0.2">
      <c r="A1487" s="213">
        <v>42599</v>
      </c>
      <c r="B1487" s="20" t="s">
        <v>127</v>
      </c>
      <c r="C1487" s="130"/>
      <c r="D1487" s="60">
        <v>376238825990</v>
      </c>
      <c r="E1487" s="29">
        <v>201228</v>
      </c>
      <c r="F1487" s="121"/>
      <c r="G1487" s="176">
        <f>18.4+66.55</f>
        <v>84.949999999999989</v>
      </c>
      <c r="H1487" s="131" t="s">
        <v>1720</v>
      </c>
      <c r="J1487" s="190" t="s">
        <v>1714</v>
      </c>
    </row>
    <row r="1488" spans="1:11" x14ac:dyDescent="0.2">
      <c r="A1488" s="213">
        <v>42600</v>
      </c>
      <c r="B1488" s="20" t="s">
        <v>127</v>
      </c>
      <c r="C1488" s="130"/>
      <c r="D1488" s="60">
        <v>376238825990</v>
      </c>
      <c r="E1488" s="29">
        <v>201228</v>
      </c>
      <c r="F1488" s="121"/>
      <c r="G1488" s="176">
        <f>37.73+112.17</f>
        <v>149.9</v>
      </c>
      <c r="H1488" s="131" t="s">
        <v>1721</v>
      </c>
      <c r="J1488" s="190" t="s">
        <v>1714</v>
      </c>
    </row>
    <row r="1489" spans="1:12" x14ac:dyDescent="0.2">
      <c r="A1489" s="213">
        <v>42600</v>
      </c>
      <c r="B1489" s="20" t="s">
        <v>127</v>
      </c>
      <c r="C1489" s="130"/>
      <c r="D1489" s="60">
        <v>376238825990</v>
      </c>
      <c r="E1489" s="29">
        <v>201228</v>
      </c>
      <c r="F1489" s="121"/>
      <c r="G1489" s="176">
        <f>20.18+123.77</f>
        <v>143.94999999999999</v>
      </c>
      <c r="H1489" s="131" t="s">
        <v>1722</v>
      </c>
      <c r="J1489" s="190" t="s">
        <v>1714</v>
      </c>
    </row>
    <row r="1490" spans="1:12" x14ac:dyDescent="0.2">
      <c r="A1490" s="213">
        <v>42600</v>
      </c>
      <c r="B1490" s="20" t="s">
        <v>127</v>
      </c>
      <c r="C1490" s="130"/>
      <c r="D1490" s="60">
        <v>376220322998</v>
      </c>
      <c r="E1490" s="29">
        <v>220501</v>
      </c>
      <c r="F1490" s="121"/>
      <c r="G1490" s="176">
        <v>36.08</v>
      </c>
      <c r="H1490" s="131" t="s">
        <v>1723</v>
      </c>
      <c r="J1490" s="190" t="s">
        <v>1714</v>
      </c>
    </row>
    <row r="1491" spans="1:12" x14ac:dyDescent="0.2">
      <c r="A1491" s="213">
        <v>42601</v>
      </c>
      <c r="B1491" s="20" t="s">
        <v>127</v>
      </c>
      <c r="C1491" s="130"/>
      <c r="D1491" s="60">
        <v>376244923995</v>
      </c>
      <c r="E1491" s="29">
        <v>226743</v>
      </c>
      <c r="F1491" s="121"/>
      <c r="G1491" s="176">
        <v>13.5</v>
      </c>
      <c r="H1491" s="131" t="s">
        <v>1724</v>
      </c>
      <c r="J1491" s="181" t="s">
        <v>1725</v>
      </c>
    </row>
    <row r="1492" spans="1:12" x14ac:dyDescent="0.2">
      <c r="A1492" s="213">
        <v>42596</v>
      </c>
      <c r="B1492" s="20" t="s">
        <v>127</v>
      </c>
      <c r="C1492" s="130"/>
      <c r="D1492" s="60">
        <v>37620713997</v>
      </c>
      <c r="E1492" s="29">
        <v>351215</v>
      </c>
      <c r="F1492" s="121"/>
      <c r="G1492" s="176">
        <v>39</v>
      </c>
      <c r="H1492" s="131" t="s">
        <v>1726</v>
      </c>
      <c r="J1492" s="192" t="s">
        <v>1694</v>
      </c>
    </row>
    <row r="1493" spans="1:12" x14ac:dyDescent="0.2">
      <c r="A1493" s="213">
        <v>42596</v>
      </c>
      <c r="B1493" s="20" t="s">
        <v>127</v>
      </c>
      <c r="C1493" s="130"/>
      <c r="D1493" s="60">
        <v>37620713997</v>
      </c>
      <c r="E1493" s="29">
        <v>351215</v>
      </c>
      <c r="F1493" s="121"/>
      <c r="G1493" s="176">
        <v>168</v>
      </c>
      <c r="H1493" s="131" t="s">
        <v>1727</v>
      </c>
      <c r="J1493" s="192" t="s">
        <v>1694</v>
      </c>
    </row>
    <row r="1494" spans="1:12" x14ac:dyDescent="0.2">
      <c r="A1494" s="213">
        <v>42597</v>
      </c>
      <c r="B1494" s="20" t="s">
        <v>127</v>
      </c>
      <c r="C1494" s="130"/>
      <c r="D1494" s="60">
        <v>37620713997</v>
      </c>
      <c r="E1494" s="29">
        <v>351215</v>
      </c>
      <c r="F1494" s="121"/>
      <c r="G1494" s="176">
        <v>78</v>
      </c>
      <c r="H1494" s="131" t="s">
        <v>1728</v>
      </c>
      <c r="J1494" s="192" t="s">
        <v>1694</v>
      </c>
    </row>
    <row r="1495" spans="1:12" x14ac:dyDescent="0.2">
      <c r="A1495" s="213">
        <v>42597</v>
      </c>
      <c r="B1495" s="20" t="s">
        <v>127</v>
      </c>
      <c r="C1495" s="130"/>
      <c r="D1495" s="60">
        <v>37620713997</v>
      </c>
      <c r="E1495" s="29">
        <v>351215</v>
      </c>
      <c r="F1495" s="121"/>
      <c r="G1495" s="176">
        <v>125.07</v>
      </c>
      <c r="H1495" s="131" t="s">
        <v>1729</v>
      </c>
      <c r="J1495" s="192" t="s">
        <v>1694</v>
      </c>
    </row>
    <row r="1496" spans="1:12" x14ac:dyDescent="0.2">
      <c r="A1496" s="213">
        <v>42597</v>
      </c>
      <c r="B1496" s="20" t="s">
        <v>127</v>
      </c>
      <c r="C1496" s="130"/>
      <c r="D1496" s="60">
        <v>37620713997</v>
      </c>
      <c r="E1496" s="29">
        <v>351215</v>
      </c>
      <c r="F1496" s="121"/>
      <c r="G1496" s="176">
        <v>53</v>
      </c>
      <c r="H1496" s="131" t="s">
        <v>1730</v>
      </c>
      <c r="J1496" s="192" t="s">
        <v>1694</v>
      </c>
    </row>
    <row r="1497" spans="1:12" x14ac:dyDescent="0.2">
      <c r="A1497" s="213">
        <v>42597</v>
      </c>
      <c r="B1497" s="20" t="s">
        <v>127</v>
      </c>
      <c r="C1497" s="130"/>
      <c r="D1497" s="60">
        <v>37620713997</v>
      </c>
      <c r="E1497" s="29">
        <v>351215</v>
      </c>
      <c r="F1497" s="121"/>
      <c r="G1497" s="176">
        <v>81.62</v>
      </c>
      <c r="H1497" s="131" t="s">
        <v>1731</v>
      </c>
      <c r="J1497" s="192" t="s">
        <v>1694</v>
      </c>
    </row>
    <row r="1498" spans="1:12" x14ac:dyDescent="0.2">
      <c r="A1498" s="213">
        <v>42598</v>
      </c>
      <c r="B1498" s="20" t="s">
        <v>127</v>
      </c>
      <c r="C1498" s="130"/>
      <c r="D1498" s="60">
        <v>37620713997</v>
      </c>
      <c r="E1498" s="29">
        <v>351215</v>
      </c>
      <c r="F1498" s="121"/>
      <c r="G1498" s="176">
        <v>39.71</v>
      </c>
      <c r="H1498" s="131" t="s">
        <v>1732</v>
      </c>
      <c r="J1498" s="192" t="s">
        <v>1694</v>
      </c>
    </row>
    <row r="1499" spans="1:12" x14ac:dyDescent="0.2">
      <c r="A1499" s="213">
        <v>42599</v>
      </c>
      <c r="B1499" s="20" t="s">
        <v>127</v>
      </c>
      <c r="C1499" s="130"/>
      <c r="D1499" s="60">
        <v>37620713997</v>
      </c>
      <c r="E1499" s="29">
        <v>351215</v>
      </c>
      <c r="F1499" s="121"/>
      <c r="G1499" s="176">
        <v>65.88</v>
      </c>
      <c r="H1499" s="131" t="s">
        <v>1733</v>
      </c>
      <c r="J1499" s="192" t="s">
        <v>1694</v>
      </c>
    </row>
    <row r="1500" spans="1:12" x14ac:dyDescent="0.2">
      <c r="A1500" s="213">
        <v>42599</v>
      </c>
      <c r="B1500" s="20" t="s">
        <v>127</v>
      </c>
      <c r="C1500" s="130"/>
      <c r="D1500" s="60">
        <v>37620713997</v>
      </c>
      <c r="E1500" s="29">
        <v>351215</v>
      </c>
      <c r="F1500" s="121"/>
      <c r="G1500" s="176">
        <v>53</v>
      </c>
      <c r="H1500" s="131" t="s">
        <v>1734</v>
      </c>
      <c r="J1500" s="192" t="s">
        <v>1694</v>
      </c>
    </row>
    <row r="1501" spans="1:12" x14ac:dyDescent="0.2">
      <c r="A1501" s="213">
        <v>42600</v>
      </c>
      <c r="B1501" s="20" t="s">
        <v>127</v>
      </c>
      <c r="C1501" s="130"/>
      <c r="D1501" s="60">
        <v>37620713997</v>
      </c>
      <c r="E1501" s="29">
        <v>351215</v>
      </c>
      <c r="F1501" s="121"/>
      <c r="G1501" s="176">
        <v>102</v>
      </c>
      <c r="H1501" s="131" t="s">
        <v>1735</v>
      </c>
      <c r="J1501" s="192" t="s">
        <v>1694</v>
      </c>
    </row>
    <row r="1502" spans="1:12" x14ac:dyDescent="0.2">
      <c r="A1502" s="213">
        <v>42601</v>
      </c>
      <c r="B1502" s="20" t="s">
        <v>127</v>
      </c>
      <c r="C1502" s="130"/>
      <c r="D1502" s="60">
        <v>37620713997</v>
      </c>
      <c r="E1502" s="29">
        <v>351215</v>
      </c>
      <c r="F1502" s="121"/>
      <c r="G1502" s="176">
        <v>112.36</v>
      </c>
      <c r="H1502" s="131" t="s">
        <v>1736</v>
      </c>
      <c r="J1502" s="192" t="s">
        <v>1694</v>
      </c>
    </row>
    <row r="1503" spans="1:12" x14ac:dyDescent="0.2">
      <c r="A1503" s="213">
        <v>42601</v>
      </c>
      <c r="B1503" s="20" t="s">
        <v>127</v>
      </c>
      <c r="C1503" s="130"/>
      <c r="D1503" s="60">
        <v>37620713997</v>
      </c>
      <c r="E1503" s="29">
        <v>351215</v>
      </c>
      <c r="F1503" s="121"/>
      <c r="G1503" s="176">
        <v>249.31</v>
      </c>
      <c r="H1503" s="131" t="s">
        <v>1737</v>
      </c>
      <c r="J1503" s="192" t="s">
        <v>1694</v>
      </c>
    </row>
    <row r="1504" spans="1:12" x14ac:dyDescent="0.2">
      <c r="A1504" s="213">
        <v>42604</v>
      </c>
      <c r="B1504" s="20" t="s">
        <v>127</v>
      </c>
      <c r="D1504" s="120" t="s">
        <v>1568</v>
      </c>
      <c r="E1504" s="29">
        <v>201228</v>
      </c>
      <c r="F1504" s="121"/>
      <c r="G1504" s="122">
        <f>10.07+48.59</f>
        <v>58.660000000000004</v>
      </c>
      <c r="H1504" s="117">
        <v>2262224</v>
      </c>
      <c r="J1504" s="180" t="s">
        <v>191</v>
      </c>
      <c r="K1504" s="124"/>
      <c r="L1504" s="124"/>
    </row>
    <row r="1505" spans="1:10" s="203" customFormat="1" x14ac:dyDescent="0.2">
      <c r="A1505" s="221" t="s">
        <v>1949</v>
      </c>
      <c r="B1505" s="216" t="s">
        <v>0</v>
      </c>
      <c r="C1505" s="203" t="s">
        <v>209</v>
      </c>
      <c r="D1505" s="272" t="s">
        <v>1738</v>
      </c>
      <c r="E1505" s="68"/>
      <c r="F1505" s="217" t="s">
        <v>1739</v>
      </c>
      <c r="G1505" s="271">
        <v>165.25</v>
      </c>
      <c r="H1505" s="223"/>
      <c r="J1505" s="279" t="s">
        <v>246</v>
      </c>
    </row>
    <row r="1506" spans="1:10" s="203" customFormat="1" x14ac:dyDescent="0.2">
      <c r="A1506" s="221" t="s">
        <v>1949</v>
      </c>
      <c r="B1506" s="216" t="s">
        <v>0</v>
      </c>
      <c r="C1506" s="203" t="s">
        <v>209</v>
      </c>
      <c r="D1506" s="297" t="s">
        <v>1484</v>
      </c>
      <c r="E1506" s="68">
        <v>1053</v>
      </c>
      <c r="F1506" s="217"/>
      <c r="G1506" s="218">
        <v>71.92</v>
      </c>
      <c r="J1506" s="279" t="s">
        <v>246</v>
      </c>
    </row>
    <row r="1507" spans="1:10" x14ac:dyDescent="0.2">
      <c r="A1507" s="213">
        <v>42607</v>
      </c>
      <c r="B1507" s="20" t="s">
        <v>127</v>
      </c>
      <c r="C1507" s="130"/>
      <c r="D1507" s="60" t="s">
        <v>1568</v>
      </c>
      <c r="E1507" s="29">
        <v>212722</v>
      </c>
      <c r="F1507" s="121"/>
      <c r="G1507" s="176">
        <f>6.3+15.65</f>
        <v>21.95</v>
      </c>
      <c r="H1507" s="131">
        <v>2279683</v>
      </c>
      <c r="J1507" s="192" t="s">
        <v>191</v>
      </c>
    </row>
    <row r="1508" spans="1:10" x14ac:dyDescent="0.2">
      <c r="A1508" s="213">
        <v>42607</v>
      </c>
      <c r="B1508" s="20" t="s">
        <v>127</v>
      </c>
      <c r="C1508" s="130"/>
      <c r="D1508" s="60" t="s">
        <v>1568</v>
      </c>
      <c r="E1508" s="29">
        <v>201228</v>
      </c>
      <c r="F1508" s="121"/>
      <c r="G1508" s="176">
        <f>18.31+51.17</f>
        <v>69.48</v>
      </c>
      <c r="H1508" s="131">
        <v>2268249</v>
      </c>
      <c r="J1508" s="192" t="s">
        <v>191</v>
      </c>
    </row>
    <row r="1509" spans="1:10" x14ac:dyDescent="0.2">
      <c r="A1509" s="213">
        <v>42608</v>
      </c>
      <c r="B1509" s="20" t="s">
        <v>127</v>
      </c>
      <c r="C1509" s="130"/>
      <c r="D1509" s="60" t="s">
        <v>1568</v>
      </c>
      <c r="E1509" s="29">
        <v>201228</v>
      </c>
      <c r="F1509" s="121"/>
      <c r="G1509" s="176">
        <f>153.16+500.07</f>
        <v>653.23</v>
      </c>
      <c r="H1509" s="131">
        <v>2271055</v>
      </c>
      <c r="J1509" s="192" t="s">
        <v>191</v>
      </c>
    </row>
    <row r="1510" spans="1:10" x14ac:dyDescent="0.2">
      <c r="A1510" s="213">
        <v>42603</v>
      </c>
      <c r="B1510" s="20" t="s">
        <v>127</v>
      </c>
      <c r="C1510" s="130"/>
      <c r="D1510" s="60" t="s">
        <v>181</v>
      </c>
      <c r="E1510" s="29">
        <v>351215</v>
      </c>
      <c r="F1510" s="121"/>
      <c r="G1510" s="176">
        <v>132.69</v>
      </c>
      <c r="H1510" s="131">
        <v>2260702</v>
      </c>
      <c r="J1510" s="192" t="s">
        <v>1740</v>
      </c>
    </row>
    <row r="1511" spans="1:10" x14ac:dyDescent="0.2">
      <c r="A1511" s="213">
        <v>42603</v>
      </c>
      <c r="B1511" s="20" t="s">
        <v>127</v>
      </c>
      <c r="C1511" s="130"/>
      <c r="D1511" s="60" t="s">
        <v>181</v>
      </c>
      <c r="E1511" s="29">
        <v>351215</v>
      </c>
      <c r="F1511" s="121"/>
      <c r="G1511" s="176">
        <v>77.38</v>
      </c>
      <c r="H1511" s="131">
        <v>2263560</v>
      </c>
      <c r="J1511" s="192" t="s">
        <v>1740</v>
      </c>
    </row>
    <row r="1512" spans="1:10" x14ac:dyDescent="0.2">
      <c r="A1512" s="213">
        <v>42604</v>
      </c>
      <c r="B1512" s="20" t="s">
        <v>127</v>
      </c>
      <c r="C1512" s="130"/>
      <c r="D1512" s="60" t="s">
        <v>181</v>
      </c>
      <c r="E1512" s="29">
        <v>351215</v>
      </c>
      <c r="F1512" s="121"/>
      <c r="G1512" s="176">
        <v>88</v>
      </c>
      <c r="H1512" s="131">
        <v>2267904</v>
      </c>
      <c r="J1512" s="192" t="s">
        <v>1740</v>
      </c>
    </row>
    <row r="1513" spans="1:10" x14ac:dyDescent="0.2">
      <c r="A1513" s="213">
        <v>42604</v>
      </c>
      <c r="B1513" s="20" t="s">
        <v>127</v>
      </c>
      <c r="C1513" s="130"/>
      <c r="D1513" s="60" t="s">
        <v>181</v>
      </c>
      <c r="E1513" s="29">
        <v>351215</v>
      </c>
      <c r="F1513" s="121"/>
      <c r="G1513" s="176">
        <v>172.52</v>
      </c>
      <c r="H1513" s="131">
        <v>2266579</v>
      </c>
      <c r="J1513" s="192" t="s">
        <v>1740</v>
      </c>
    </row>
    <row r="1514" spans="1:10" x14ac:dyDescent="0.2">
      <c r="A1514" s="213">
        <v>42604</v>
      </c>
      <c r="B1514" s="20" t="s">
        <v>127</v>
      </c>
      <c r="C1514" s="130"/>
      <c r="D1514" s="60" t="s">
        <v>181</v>
      </c>
      <c r="E1514" s="29">
        <v>351215</v>
      </c>
      <c r="F1514" s="121"/>
      <c r="G1514" s="176">
        <v>95.92</v>
      </c>
      <c r="H1514" s="131">
        <v>2267250</v>
      </c>
      <c r="J1514" s="192" t="s">
        <v>1740</v>
      </c>
    </row>
    <row r="1515" spans="1:10" x14ac:dyDescent="0.2">
      <c r="A1515" s="213">
        <v>42604</v>
      </c>
      <c r="B1515" s="20" t="s">
        <v>127</v>
      </c>
      <c r="C1515" s="130"/>
      <c r="D1515" s="60" t="s">
        <v>181</v>
      </c>
      <c r="E1515" s="29">
        <v>351215</v>
      </c>
      <c r="F1515" s="121"/>
      <c r="G1515" s="176">
        <v>70.3</v>
      </c>
      <c r="H1515" s="131">
        <v>2266280</v>
      </c>
      <c r="J1515" s="192" t="s">
        <v>1740</v>
      </c>
    </row>
    <row r="1516" spans="1:10" x14ac:dyDescent="0.2">
      <c r="A1516" s="213">
        <v>42605</v>
      </c>
      <c r="B1516" s="20" t="s">
        <v>127</v>
      </c>
      <c r="C1516" s="130"/>
      <c r="D1516" s="60" t="s">
        <v>181</v>
      </c>
      <c r="E1516" s="29">
        <v>351215</v>
      </c>
      <c r="F1516" s="121"/>
      <c r="G1516" s="176">
        <v>88</v>
      </c>
      <c r="H1516" s="131">
        <v>2267395</v>
      </c>
      <c r="J1516" s="192" t="s">
        <v>1740</v>
      </c>
    </row>
    <row r="1517" spans="1:10" x14ac:dyDescent="0.2">
      <c r="A1517" s="213">
        <v>42605</v>
      </c>
      <c r="B1517" s="20" t="s">
        <v>127</v>
      </c>
      <c r="C1517" s="130"/>
      <c r="D1517" s="60" t="s">
        <v>181</v>
      </c>
      <c r="E1517" s="29">
        <v>351215</v>
      </c>
      <c r="F1517" s="121"/>
      <c r="G1517" s="176">
        <v>122</v>
      </c>
      <c r="H1517" s="131">
        <v>2268878</v>
      </c>
      <c r="J1517" s="192" t="s">
        <v>1740</v>
      </c>
    </row>
    <row r="1518" spans="1:10" x14ac:dyDescent="0.2">
      <c r="A1518" s="213">
        <v>42606</v>
      </c>
      <c r="B1518" s="20" t="s">
        <v>127</v>
      </c>
      <c r="C1518" s="130"/>
      <c r="D1518" s="60" t="s">
        <v>181</v>
      </c>
      <c r="E1518" s="29">
        <v>351215</v>
      </c>
      <c r="F1518" s="121"/>
      <c r="G1518" s="176">
        <v>40</v>
      </c>
      <c r="H1518" s="131">
        <v>2275144</v>
      </c>
      <c r="J1518" s="192" t="s">
        <v>1740</v>
      </c>
    </row>
    <row r="1519" spans="1:10" x14ac:dyDescent="0.2">
      <c r="A1519" s="213">
        <v>42606</v>
      </c>
      <c r="B1519" s="20" t="s">
        <v>127</v>
      </c>
      <c r="C1519" s="130"/>
      <c r="D1519" s="60" t="s">
        <v>181</v>
      </c>
      <c r="E1519" s="29">
        <v>351215</v>
      </c>
      <c r="F1519" s="121"/>
      <c r="G1519" s="176">
        <v>115.71</v>
      </c>
      <c r="H1519" s="131">
        <v>2276374</v>
      </c>
      <c r="J1519" s="192" t="s">
        <v>1740</v>
      </c>
    </row>
    <row r="1520" spans="1:10" x14ac:dyDescent="0.2">
      <c r="A1520" s="213">
        <v>42606</v>
      </c>
      <c r="B1520" s="20" t="s">
        <v>127</v>
      </c>
      <c r="C1520" s="130"/>
      <c r="D1520" s="60" t="s">
        <v>181</v>
      </c>
      <c r="E1520" s="29">
        <v>351215</v>
      </c>
      <c r="F1520" s="121"/>
      <c r="G1520" s="176">
        <v>241.44</v>
      </c>
      <c r="H1520" s="131">
        <v>2272757</v>
      </c>
      <c r="J1520" s="192" t="s">
        <v>1740</v>
      </c>
    </row>
    <row r="1521" spans="1:10" x14ac:dyDescent="0.2">
      <c r="A1521" s="213">
        <v>42607</v>
      </c>
      <c r="B1521" s="20" t="s">
        <v>127</v>
      </c>
      <c r="C1521" s="130"/>
      <c r="D1521" s="60" t="s">
        <v>181</v>
      </c>
      <c r="E1521" s="29">
        <v>351215</v>
      </c>
      <c r="F1521" s="121"/>
      <c r="G1521" s="176">
        <v>45.9</v>
      </c>
      <c r="H1521" s="131">
        <v>2277537</v>
      </c>
      <c r="J1521" s="192" t="s">
        <v>1740</v>
      </c>
    </row>
    <row r="1522" spans="1:10" x14ac:dyDescent="0.2">
      <c r="A1522" s="213">
        <v>42607</v>
      </c>
      <c r="B1522" s="20" t="s">
        <v>127</v>
      </c>
      <c r="C1522" s="130"/>
      <c r="D1522" s="60" t="s">
        <v>181</v>
      </c>
      <c r="E1522" s="29">
        <v>351215</v>
      </c>
      <c r="F1522" s="121"/>
      <c r="G1522" s="176">
        <v>119</v>
      </c>
      <c r="H1522" s="131">
        <v>2277846</v>
      </c>
      <c r="J1522" s="192" t="s">
        <v>1740</v>
      </c>
    </row>
    <row r="1523" spans="1:10" x14ac:dyDescent="0.2">
      <c r="A1523" s="213">
        <v>42611</v>
      </c>
      <c r="B1523" s="20" t="s">
        <v>127</v>
      </c>
      <c r="C1523" s="130"/>
      <c r="D1523" s="60">
        <v>376238825990</v>
      </c>
      <c r="E1523" s="83">
        <v>201228</v>
      </c>
      <c r="F1523" s="121"/>
      <c r="G1523" s="176">
        <f>21.2+85.7</f>
        <v>106.9</v>
      </c>
      <c r="H1523" s="131" t="s">
        <v>1741</v>
      </c>
      <c r="J1523" s="180" t="s">
        <v>1742</v>
      </c>
    </row>
    <row r="1524" spans="1:10" x14ac:dyDescent="0.2">
      <c r="A1524" s="213">
        <v>42611</v>
      </c>
      <c r="B1524" s="20" t="s">
        <v>127</v>
      </c>
      <c r="C1524" s="130"/>
      <c r="D1524" s="60">
        <v>376238825990</v>
      </c>
      <c r="E1524" s="83">
        <v>201228</v>
      </c>
      <c r="F1524" s="121"/>
      <c r="G1524" s="176">
        <f>8+68.25</f>
        <v>76.25</v>
      </c>
      <c r="H1524" s="131" t="s">
        <v>1743</v>
      </c>
      <c r="J1524" s="180" t="s">
        <v>1742</v>
      </c>
    </row>
    <row r="1525" spans="1:10" x14ac:dyDescent="0.2">
      <c r="A1525" s="213">
        <v>42611</v>
      </c>
      <c r="B1525" s="20" t="s">
        <v>127</v>
      </c>
      <c r="C1525" s="130"/>
      <c r="D1525" s="60">
        <v>376238825990</v>
      </c>
      <c r="E1525" s="83">
        <v>201228</v>
      </c>
      <c r="F1525" s="121"/>
      <c r="G1525" s="176">
        <f>8+55.05</f>
        <v>63.05</v>
      </c>
      <c r="H1525" s="131" t="s">
        <v>1744</v>
      </c>
      <c r="J1525" s="180" t="s">
        <v>1742</v>
      </c>
    </row>
    <row r="1526" spans="1:10" x14ac:dyDescent="0.2">
      <c r="A1526" s="213">
        <v>42611</v>
      </c>
      <c r="B1526" s="20" t="s">
        <v>127</v>
      </c>
      <c r="C1526" s="130"/>
      <c r="D1526" s="60">
        <v>376238825990</v>
      </c>
      <c r="E1526" s="83">
        <v>201228</v>
      </c>
      <c r="F1526" s="121"/>
      <c r="G1526" s="176">
        <f>3.03+15.83</f>
        <v>18.86</v>
      </c>
      <c r="H1526" s="131" t="s">
        <v>1745</v>
      </c>
      <c r="J1526" s="180" t="s">
        <v>1742</v>
      </c>
    </row>
    <row r="1527" spans="1:10" x14ac:dyDescent="0.2">
      <c r="A1527" s="213">
        <v>42612</v>
      </c>
      <c r="B1527" s="20" t="s">
        <v>127</v>
      </c>
      <c r="C1527" s="130"/>
      <c r="D1527" s="60">
        <v>376238825990</v>
      </c>
      <c r="E1527" s="83">
        <v>201228</v>
      </c>
      <c r="F1527" s="121"/>
      <c r="G1527" s="176">
        <f>1.14+14.31</f>
        <v>15.450000000000001</v>
      </c>
      <c r="H1527" s="131" t="s">
        <v>1746</v>
      </c>
      <c r="J1527" s="180" t="s">
        <v>1742</v>
      </c>
    </row>
    <row r="1528" spans="1:10" x14ac:dyDescent="0.2">
      <c r="A1528" s="213">
        <v>42613</v>
      </c>
      <c r="B1528" s="20" t="s">
        <v>127</v>
      </c>
      <c r="C1528" s="130"/>
      <c r="D1528" s="60">
        <v>376238825990</v>
      </c>
      <c r="E1528" s="83">
        <v>201228</v>
      </c>
      <c r="F1528" s="121"/>
      <c r="G1528" s="176">
        <f>24.12+83.43</f>
        <v>107.55000000000001</v>
      </c>
      <c r="H1528" s="131" t="s">
        <v>1747</v>
      </c>
      <c r="J1528" s="180" t="s">
        <v>1742</v>
      </c>
    </row>
    <row r="1529" spans="1:10" x14ac:dyDescent="0.2">
      <c r="A1529" s="213">
        <v>42613</v>
      </c>
      <c r="B1529" s="20" t="s">
        <v>127</v>
      </c>
      <c r="C1529" s="130"/>
      <c r="D1529" s="60">
        <v>376238825990</v>
      </c>
      <c r="E1529" s="83">
        <v>201228</v>
      </c>
      <c r="F1529" s="121"/>
      <c r="G1529" s="176">
        <f>57.5+279.4</f>
        <v>336.9</v>
      </c>
      <c r="H1529" s="131" t="s">
        <v>1748</v>
      </c>
      <c r="J1529" s="180" t="s">
        <v>1742</v>
      </c>
    </row>
    <row r="1530" spans="1:10" x14ac:dyDescent="0.2">
      <c r="A1530" s="213">
        <v>42610</v>
      </c>
      <c r="B1530" s="20" t="s">
        <v>127</v>
      </c>
      <c r="C1530" s="130"/>
      <c r="D1530" s="60">
        <v>376270713997</v>
      </c>
      <c r="E1530" s="83">
        <v>351215</v>
      </c>
      <c r="F1530" s="121"/>
      <c r="G1530" s="176">
        <v>118</v>
      </c>
      <c r="H1530" s="131" t="s">
        <v>1749</v>
      </c>
      <c r="J1530" s="180" t="s">
        <v>1750</v>
      </c>
    </row>
    <row r="1531" spans="1:10" x14ac:dyDescent="0.2">
      <c r="A1531" s="213">
        <v>42611</v>
      </c>
      <c r="B1531" s="20" t="s">
        <v>127</v>
      </c>
      <c r="C1531" s="130"/>
      <c r="D1531" s="60">
        <v>376270713997</v>
      </c>
      <c r="E1531" s="83">
        <v>351215</v>
      </c>
      <c r="F1531" s="121"/>
      <c r="G1531" s="176">
        <v>84.5</v>
      </c>
      <c r="H1531" s="131" t="s">
        <v>1751</v>
      </c>
      <c r="J1531" s="180" t="s">
        <v>1750</v>
      </c>
    </row>
    <row r="1532" spans="1:10" x14ac:dyDescent="0.2">
      <c r="A1532" s="213">
        <v>42611</v>
      </c>
      <c r="B1532" s="20" t="s">
        <v>127</v>
      </c>
      <c r="C1532" s="130"/>
      <c r="D1532" s="60">
        <v>376270713997</v>
      </c>
      <c r="E1532" s="83">
        <v>351215</v>
      </c>
      <c r="F1532" s="121"/>
      <c r="G1532" s="176">
        <v>84</v>
      </c>
      <c r="H1532" s="131" t="s">
        <v>1752</v>
      </c>
      <c r="J1532" s="180" t="s">
        <v>1750</v>
      </c>
    </row>
    <row r="1533" spans="1:10" x14ac:dyDescent="0.2">
      <c r="A1533" s="213">
        <v>42611</v>
      </c>
      <c r="B1533" s="20" t="s">
        <v>127</v>
      </c>
      <c r="C1533" s="130"/>
      <c r="D1533" s="60">
        <v>376270713997</v>
      </c>
      <c r="E1533" s="83">
        <v>351215</v>
      </c>
      <c r="F1533" s="121"/>
      <c r="G1533" s="176">
        <v>183.61</v>
      </c>
      <c r="H1533" s="131" t="s">
        <v>1753</v>
      </c>
      <c r="J1533" s="180" t="s">
        <v>1750</v>
      </c>
    </row>
    <row r="1534" spans="1:10" x14ac:dyDescent="0.2">
      <c r="A1534" s="213">
        <v>42612</v>
      </c>
      <c r="B1534" s="20" t="s">
        <v>127</v>
      </c>
      <c r="C1534" s="130"/>
      <c r="D1534" s="60">
        <v>376270713997</v>
      </c>
      <c r="E1534" s="83">
        <v>351215</v>
      </c>
      <c r="F1534" s="121"/>
      <c r="G1534" s="176">
        <v>96.14</v>
      </c>
      <c r="H1534" s="131" t="s">
        <v>1754</v>
      </c>
      <c r="J1534" s="180" t="s">
        <v>1750</v>
      </c>
    </row>
    <row r="1535" spans="1:10" x14ac:dyDescent="0.2">
      <c r="A1535" s="213">
        <v>42612</v>
      </c>
      <c r="B1535" s="20" t="s">
        <v>127</v>
      </c>
      <c r="C1535" s="130"/>
      <c r="D1535" s="60">
        <v>376270713997</v>
      </c>
      <c r="E1535" s="83">
        <v>351215</v>
      </c>
      <c r="F1535" s="121"/>
      <c r="G1535" s="176">
        <v>134.62</v>
      </c>
      <c r="H1535" s="131" t="s">
        <v>1755</v>
      </c>
      <c r="J1535" s="180" t="s">
        <v>1750</v>
      </c>
    </row>
    <row r="1536" spans="1:10" x14ac:dyDescent="0.2">
      <c r="A1536" s="213">
        <v>42612</v>
      </c>
      <c r="B1536" s="20" t="s">
        <v>127</v>
      </c>
      <c r="C1536" s="130"/>
      <c r="D1536" s="60">
        <v>376270713997</v>
      </c>
      <c r="E1536" s="83">
        <v>351215</v>
      </c>
      <c r="F1536" s="121"/>
      <c r="G1536" s="176">
        <v>128.35</v>
      </c>
      <c r="H1536" s="131" t="s">
        <v>1756</v>
      </c>
      <c r="J1536" s="180" t="s">
        <v>1750</v>
      </c>
    </row>
    <row r="1537" spans="1:11" x14ac:dyDescent="0.2">
      <c r="A1537" s="213">
        <v>42612</v>
      </c>
      <c r="B1537" s="20" t="s">
        <v>127</v>
      </c>
      <c r="C1537" s="130"/>
      <c r="D1537" s="60">
        <v>376270713997</v>
      </c>
      <c r="E1537" s="83">
        <v>351215</v>
      </c>
      <c r="F1537" s="121"/>
      <c r="G1537" s="176">
        <v>88.2</v>
      </c>
      <c r="H1537" s="131" t="s">
        <v>1757</v>
      </c>
      <c r="J1537" s="180" t="s">
        <v>1750</v>
      </c>
    </row>
    <row r="1538" spans="1:11" x14ac:dyDescent="0.2">
      <c r="A1538" s="213">
        <v>42612</v>
      </c>
      <c r="B1538" s="20" t="s">
        <v>127</v>
      </c>
      <c r="C1538" s="130"/>
      <c r="D1538" s="60">
        <v>376270713997</v>
      </c>
      <c r="E1538" s="83">
        <v>351215</v>
      </c>
      <c r="F1538" s="121"/>
      <c r="G1538" s="176">
        <v>68.05</v>
      </c>
      <c r="H1538" s="131" t="s">
        <v>1758</v>
      </c>
      <c r="J1538" s="180" t="s">
        <v>1750</v>
      </c>
    </row>
    <row r="1539" spans="1:11" x14ac:dyDescent="0.2">
      <c r="A1539" s="213">
        <v>42612</v>
      </c>
      <c r="B1539" s="20" t="s">
        <v>127</v>
      </c>
      <c r="C1539" s="130"/>
      <c r="D1539" s="60">
        <v>376270713997</v>
      </c>
      <c r="E1539" s="83">
        <v>351215</v>
      </c>
      <c r="F1539" s="121"/>
      <c r="G1539" s="176">
        <v>121.8</v>
      </c>
      <c r="H1539" s="131" t="s">
        <v>1759</v>
      </c>
      <c r="J1539" s="180" t="s">
        <v>1750</v>
      </c>
    </row>
    <row r="1540" spans="1:11" x14ac:dyDescent="0.2">
      <c r="A1540" s="213">
        <v>42612</v>
      </c>
      <c r="B1540" s="20" t="s">
        <v>127</v>
      </c>
      <c r="C1540" s="130"/>
      <c r="D1540" s="60">
        <v>376270713997</v>
      </c>
      <c r="E1540" s="83">
        <v>351215</v>
      </c>
      <c r="F1540" s="121"/>
      <c r="G1540" s="176">
        <v>261.39999999999998</v>
      </c>
      <c r="H1540" s="131" t="s">
        <v>1760</v>
      </c>
      <c r="J1540" s="180" t="s">
        <v>1750</v>
      </c>
    </row>
    <row r="1541" spans="1:11" x14ac:dyDescent="0.2">
      <c r="A1541" s="213">
        <v>42612</v>
      </c>
      <c r="B1541" s="20" t="s">
        <v>127</v>
      </c>
      <c r="C1541" s="130"/>
      <c r="D1541" s="60">
        <v>376270713997</v>
      </c>
      <c r="E1541" s="83">
        <v>351215</v>
      </c>
      <c r="F1541" s="121"/>
      <c r="G1541" s="176">
        <v>109</v>
      </c>
      <c r="H1541" s="131" t="s">
        <v>1761</v>
      </c>
      <c r="J1541" s="180" t="s">
        <v>1750</v>
      </c>
    </row>
    <row r="1542" spans="1:11" x14ac:dyDescent="0.2">
      <c r="A1542" s="213">
        <v>42613</v>
      </c>
      <c r="B1542" s="20" t="s">
        <v>127</v>
      </c>
      <c r="C1542" s="130"/>
      <c r="D1542" s="60">
        <v>376270713997</v>
      </c>
      <c r="E1542" s="83">
        <v>351215</v>
      </c>
      <c r="F1542" s="121"/>
      <c r="G1542" s="176">
        <v>96.14</v>
      </c>
      <c r="H1542" s="131" t="s">
        <v>1762</v>
      </c>
      <c r="J1542" s="180" t="s">
        <v>1750</v>
      </c>
    </row>
    <row r="1543" spans="1:11" x14ac:dyDescent="0.2">
      <c r="A1543" s="213">
        <v>42614</v>
      </c>
      <c r="B1543" s="20" t="s">
        <v>127</v>
      </c>
      <c r="C1543" s="130"/>
      <c r="D1543" s="60">
        <v>376238825990</v>
      </c>
      <c r="E1543" s="83">
        <v>226391</v>
      </c>
      <c r="F1543" s="121"/>
      <c r="G1543" s="176">
        <f>8+52.15</f>
        <v>60.15</v>
      </c>
      <c r="H1543" s="131" t="s">
        <v>1763</v>
      </c>
      <c r="J1543" s="180" t="s">
        <v>1764</v>
      </c>
    </row>
    <row r="1544" spans="1:11" x14ac:dyDescent="0.2">
      <c r="A1544" s="213">
        <v>42614</v>
      </c>
      <c r="B1544" s="20" t="s">
        <v>127</v>
      </c>
      <c r="C1544" s="130"/>
      <c r="D1544" s="60">
        <v>376238825990</v>
      </c>
      <c r="E1544" s="83">
        <v>226391</v>
      </c>
      <c r="F1544" s="121"/>
      <c r="G1544" s="176">
        <f>5.06+51.84</f>
        <v>56.900000000000006</v>
      </c>
      <c r="H1544" s="131" t="s">
        <v>1765</v>
      </c>
      <c r="J1544" s="180" t="s">
        <v>1764</v>
      </c>
    </row>
    <row r="1545" spans="1:11" x14ac:dyDescent="0.2">
      <c r="A1545" s="213">
        <v>42615</v>
      </c>
      <c r="B1545" s="20" t="s">
        <v>127</v>
      </c>
      <c r="C1545" s="130"/>
      <c r="D1545" s="60">
        <v>376238825990</v>
      </c>
      <c r="E1545" s="83">
        <v>226391</v>
      </c>
      <c r="F1545" s="121"/>
      <c r="G1545" s="176">
        <f>44.18+156.74</f>
        <v>200.92000000000002</v>
      </c>
      <c r="H1545" s="131" t="s">
        <v>1766</v>
      </c>
      <c r="J1545" s="180" t="s">
        <v>1764</v>
      </c>
    </row>
    <row r="1546" spans="1:11" x14ac:dyDescent="0.2">
      <c r="A1546" s="213">
        <v>42615</v>
      </c>
      <c r="B1546" s="20" t="s">
        <v>127</v>
      </c>
      <c r="C1546" s="130"/>
      <c r="D1546" s="60">
        <v>376220322998</v>
      </c>
      <c r="E1546" s="83">
        <v>220501</v>
      </c>
      <c r="F1546" s="121"/>
      <c r="G1546" s="176">
        <f>12.3+47.09</f>
        <v>59.39</v>
      </c>
      <c r="H1546" s="131" t="s">
        <v>1767</v>
      </c>
      <c r="J1546" s="180" t="s">
        <v>1764</v>
      </c>
    </row>
    <row r="1547" spans="1:11" x14ac:dyDescent="0.2">
      <c r="A1547" s="213">
        <v>42617</v>
      </c>
      <c r="B1547" s="20" t="s">
        <v>127</v>
      </c>
      <c r="C1547" s="130"/>
      <c r="D1547" s="60">
        <v>376220322998</v>
      </c>
      <c r="E1547" s="83">
        <v>220501</v>
      </c>
      <c r="F1547" s="121"/>
      <c r="G1547" s="176">
        <f>5.17+35.15</f>
        <v>40.32</v>
      </c>
      <c r="H1547" s="131" t="s">
        <v>1768</v>
      </c>
      <c r="J1547" s="180" t="s">
        <v>1764</v>
      </c>
    </row>
    <row r="1548" spans="1:11" s="203" customFormat="1" x14ac:dyDescent="0.2">
      <c r="A1548" s="215">
        <v>42615</v>
      </c>
      <c r="B1548" s="216" t="s">
        <v>127</v>
      </c>
      <c r="C1548" s="203" t="s">
        <v>151</v>
      </c>
      <c r="D1548" s="59">
        <v>376258029994</v>
      </c>
      <c r="E1548" s="85">
        <v>219739</v>
      </c>
      <c r="F1548" s="217"/>
      <c r="G1548" s="271">
        <f>89.94+169.72</f>
        <v>259.65999999999997</v>
      </c>
      <c r="H1548" s="223" t="s">
        <v>1769</v>
      </c>
      <c r="J1548" s="298" t="s">
        <v>246</v>
      </c>
    </row>
    <row r="1549" spans="1:11" x14ac:dyDescent="0.2">
      <c r="A1549" s="213">
        <v>42614</v>
      </c>
      <c r="B1549" s="20" t="s">
        <v>127</v>
      </c>
      <c r="C1549" s="130"/>
      <c r="D1549" s="60">
        <v>376270713997</v>
      </c>
      <c r="E1549" s="83">
        <v>351215</v>
      </c>
      <c r="F1549" s="121"/>
      <c r="G1549" s="176">
        <v>246.98</v>
      </c>
      <c r="H1549" s="131" t="s">
        <v>1770</v>
      </c>
      <c r="J1549" s="193" t="s">
        <v>1771</v>
      </c>
      <c r="K1549" s="39"/>
    </row>
    <row r="1550" spans="1:11" x14ac:dyDescent="0.2">
      <c r="A1550" s="213">
        <v>42614</v>
      </c>
      <c r="B1550" s="20" t="s">
        <v>127</v>
      </c>
      <c r="C1550" s="130"/>
      <c r="D1550" s="60">
        <v>376270713997</v>
      </c>
      <c r="E1550" s="83">
        <v>351215</v>
      </c>
      <c r="F1550" s="121"/>
      <c r="G1550" s="176">
        <v>78.84</v>
      </c>
      <c r="H1550" s="131" t="s">
        <v>1772</v>
      </c>
      <c r="J1550" s="193" t="s">
        <v>1771</v>
      </c>
    </row>
    <row r="1551" spans="1:11" x14ac:dyDescent="0.2">
      <c r="A1551" s="213">
        <v>42615</v>
      </c>
      <c r="B1551" s="20" t="s">
        <v>127</v>
      </c>
      <c r="C1551" s="130"/>
      <c r="D1551" s="60">
        <v>376270713997</v>
      </c>
      <c r="E1551" s="83">
        <v>351215</v>
      </c>
      <c r="F1551" s="121"/>
      <c r="G1551" s="176">
        <v>64.94</v>
      </c>
      <c r="H1551" s="131" t="s">
        <v>1773</v>
      </c>
      <c r="J1551" s="193" t="s">
        <v>1771</v>
      </c>
    </row>
    <row r="1552" spans="1:11" x14ac:dyDescent="0.2">
      <c r="A1552" s="213">
        <v>42615</v>
      </c>
      <c r="B1552" s="20" t="s">
        <v>127</v>
      </c>
      <c r="C1552" s="130"/>
      <c r="D1552" s="60">
        <v>376270713997</v>
      </c>
      <c r="E1552" s="83">
        <v>351215</v>
      </c>
      <c r="F1552" s="121"/>
      <c r="G1552" s="176">
        <v>114.7</v>
      </c>
      <c r="H1552" s="131" t="s">
        <v>1774</v>
      </c>
      <c r="J1552" s="193" t="s">
        <v>1771</v>
      </c>
    </row>
    <row r="1553" spans="1:10" x14ac:dyDescent="0.2">
      <c r="A1553" s="213">
        <v>42615</v>
      </c>
      <c r="B1553" s="20" t="s">
        <v>127</v>
      </c>
      <c r="C1553" s="130"/>
      <c r="D1553" s="60">
        <v>376270713997</v>
      </c>
      <c r="E1553" s="83">
        <v>351215</v>
      </c>
      <c r="F1553" s="121"/>
      <c r="G1553" s="176">
        <v>160.94999999999999</v>
      </c>
      <c r="H1553" s="131" t="s">
        <v>1775</v>
      </c>
      <c r="J1553" s="193" t="s">
        <v>1771</v>
      </c>
    </row>
    <row r="1554" spans="1:10" x14ac:dyDescent="0.2">
      <c r="A1554" s="213">
        <v>42615</v>
      </c>
      <c r="B1554" s="20" t="s">
        <v>127</v>
      </c>
      <c r="C1554" s="130"/>
      <c r="D1554" s="60">
        <v>376270713997</v>
      </c>
      <c r="E1554" s="83">
        <v>351215</v>
      </c>
      <c r="F1554" s="121"/>
      <c r="G1554" s="176">
        <v>77.38</v>
      </c>
      <c r="H1554" s="131" t="s">
        <v>1776</v>
      </c>
      <c r="J1554" s="193" t="s">
        <v>1771</v>
      </c>
    </row>
    <row r="1555" spans="1:10" s="203" customFormat="1" x14ac:dyDescent="0.2">
      <c r="A1555" s="221" t="s">
        <v>1950</v>
      </c>
      <c r="B1555" s="216" t="s">
        <v>0</v>
      </c>
      <c r="C1555" s="203" t="s">
        <v>209</v>
      </c>
      <c r="D1555" s="299" t="s">
        <v>1243</v>
      </c>
      <c r="E1555" s="85"/>
      <c r="F1555" s="217"/>
      <c r="G1555" s="271">
        <v>84.9</v>
      </c>
      <c r="H1555" s="223"/>
      <c r="J1555" s="300" t="s">
        <v>246</v>
      </c>
    </row>
    <row r="1556" spans="1:10" s="203" customFormat="1" x14ac:dyDescent="0.2">
      <c r="A1556" s="221" t="s">
        <v>1950</v>
      </c>
      <c r="B1556" s="216" t="s">
        <v>0</v>
      </c>
      <c r="C1556" s="203" t="s">
        <v>1965</v>
      </c>
      <c r="D1556" s="299" t="s">
        <v>1777</v>
      </c>
      <c r="E1556" s="85">
        <v>352537</v>
      </c>
      <c r="F1556" s="217" t="s">
        <v>1778</v>
      </c>
      <c r="G1556" s="271">
        <v>58.76</v>
      </c>
      <c r="H1556" s="223"/>
      <c r="J1556" s="300" t="s">
        <v>246</v>
      </c>
    </row>
    <row r="1557" spans="1:10" s="203" customFormat="1" x14ac:dyDescent="0.2">
      <c r="A1557" s="221" t="s">
        <v>1950</v>
      </c>
      <c r="B1557" s="216" t="s">
        <v>0</v>
      </c>
      <c r="C1557" s="203" t="s">
        <v>282</v>
      </c>
      <c r="D1557" s="299" t="s">
        <v>1779</v>
      </c>
      <c r="E1557" s="85">
        <v>352748</v>
      </c>
      <c r="F1557" s="217"/>
      <c r="G1557" s="271">
        <v>84.9</v>
      </c>
      <c r="H1557" s="223"/>
      <c r="J1557" s="300" t="s">
        <v>246</v>
      </c>
    </row>
    <row r="1558" spans="1:10" s="203" customFormat="1" x14ac:dyDescent="0.2">
      <c r="A1558" s="221" t="s">
        <v>1950</v>
      </c>
      <c r="B1558" s="216" t="s">
        <v>0</v>
      </c>
      <c r="C1558" s="203" t="s">
        <v>282</v>
      </c>
      <c r="D1558" s="299" t="s">
        <v>1780</v>
      </c>
      <c r="E1558" s="85">
        <v>350368</v>
      </c>
      <c r="F1558" s="217"/>
      <c r="G1558" s="271">
        <v>88.04</v>
      </c>
      <c r="H1558" s="223"/>
      <c r="J1558" s="300" t="s">
        <v>246</v>
      </c>
    </row>
    <row r="1559" spans="1:10" s="203" customFormat="1" x14ac:dyDescent="0.2">
      <c r="A1559" s="221" t="s">
        <v>1950</v>
      </c>
      <c r="B1559" s="216" t="s">
        <v>0</v>
      </c>
      <c r="C1559" s="203" t="s">
        <v>282</v>
      </c>
      <c r="D1559" s="299" t="s">
        <v>1781</v>
      </c>
      <c r="E1559" s="85">
        <v>891</v>
      </c>
      <c r="F1559" s="217" t="s">
        <v>1782</v>
      </c>
      <c r="G1559" s="271">
        <v>118.89</v>
      </c>
      <c r="H1559" s="223"/>
      <c r="J1559" s="300" t="s">
        <v>246</v>
      </c>
    </row>
    <row r="1560" spans="1:10" s="203" customFormat="1" x14ac:dyDescent="0.2">
      <c r="A1560" s="221" t="s">
        <v>1950</v>
      </c>
      <c r="B1560" s="216" t="s">
        <v>0</v>
      </c>
      <c r="C1560" s="203" t="s">
        <v>282</v>
      </c>
      <c r="D1560" s="299" t="s">
        <v>1783</v>
      </c>
      <c r="E1560" s="85">
        <v>351914</v>
      </c>
      <c r="F1560" s="217"/>
      <c r="G1560" s="271">
        <v>89.46</v>
      </c>
      <c r="H1560" s="223"/>
      <c r="J1560" s="300" t="s">
        <v>246</v>
      </c>
    </row>
    <row r="1561" spans="1:10" s="203" customFormat="1" x14ac:dyDescent="0.2">
      <c r="A1561" s="221" t="s">
        <v>1950</v>
      </c>
      <c r="B1561" s="216" t="s">
        <v>0</v>
      </c>
      <c r="C1561" s="203" t="s">
        <v>282</v>
      </c>
      <c r="D1561" s="299" t="s">
        <v>1220</v>
      </c>
      <c r="E1561" s="85">
        <v>211954</v>
      </c>
      <c r="F1561" s="217" t="s">
        <v>1784</v>
      </c>
      <c r="G1561" s="271">
        <v>288.73</v>
      </c>
      <c r="H1561" s="223"/>
      <c r="J1561" s="300" t="s">
        <v>246</v>
      </c>
    </row>
    <row r="1562" spans="1:10" x14ac:dyDescent="0.2">
      <c r="A1562" s="213">
        <v>42619</v>
      </c>
      <c r="B1562" s="20" t="s">
        <v>127</v>
      </c>
      <c r="C1562" s="130"/>
      <c r="D1562" s="60">
        <v>376238825990</v>
      </c>
      <c r="E1562" s="83">
        <v>201228</v>
      </c>
      <c r="F1562" s="121"/>
      <c r="G1562" s="176">
        <f>36.66+76.24</f>
        <v>112.89999999999999</v>
      </c>
      <c r="H1562" s="131" t="s">
        <v>1785</v>
      </c>
      <c r="J1562" s="180" t="s">
        <v>1764</v>
      </c>
    </row>
    <row r="1563" spans="1:10" x14ac:dyDescent="0.2">
      <c r="A1563" s="213">
        <v>42619</v>
      </c>
      <c r="B1563" s="20" t="s">
        <v>127</v>
      </c>
      <c r="C1563" s="130"/>
      <c r="D1563" s="60">
        <v>376238825990</v>
      </c>
      <c r="E1563" s="83">
        <v>201228</v>
      </c>
      <c r="F1563" s="121"/>
      <c r="G1563" s="176">
        <f>22.78+129.17</f>
        <v>151.94999999999999</v>
      </c>
      <c r="H1563" s="131" t="s">
        <v>1786</v>
      </c>
      <c r="J1563" s="180" t="s">
        <v>1764</v>
      </c>
    </row>
    <row r="1564" spans="1:10" x14ac:dyDescent="0.2">
      <c r="A1564" s="213">
        <v>42619</v>
      </c>
      <c r="B1564" s="20" t="s">
        <v>127</v>
      </c>
      <c r="C1564" s="130"/>
      <c r="D1564" s="60">
        <v>376238825990</v>
      </c>
      <c r="E1564" s="83">
        <v>201228</v>
      </c>
      <c r="F1564" s="121"/>
      <c r="G1564" s="176">
        <f>8.86+28.04</f>
        <v>36.9</v>
      </c>
      <c r="H1564" s="131" t="s">
        <v>1787</v>
      </c>
      <c r="J1564" s="180" t="s">
        <v>1764</v>
      </c>
    </row>
    <row r="1565" spans="1:10" x14ac:dyDescent="0.2">
      <c r="A1565" s="213">
        <v>42619</v>
      </c>
      <c r="B1565" s="20" t="s">
        <v>127</v>
      </c>
      <c r="C1565" s="130"/>
      <c r="D1565" s="60">
        <v>376238825990</v>
      </c>
      <c r="E1565" s="83">
        <v>201228</v>
      </c>
      <c r="F1565" s="121"/>
      <c r="G1565" s="176">
        <f>8+57.95</f>
        <v>65.95</v>
      </c>
      <c r="H1565" s="131" t="s">
        <v>1788</v>
      </c>
      <c r="J1565" s="180" t="s">
        <v>1764</v>
      </c>
    </row>
    <row r="1566" spans="1:10" x14ac:dyDescent="0.2">
      <c r="A1566" s="213">
        <v>42620</v>
      </c>
      <c r="B1566" s="20" t="s">
        <v>127</v>
      </c>
      <c r="C1566" s="130"/>
      <c r="D1566" s="60">
        <v>376238825990</v>
      </c>
      <c r="E1566" s="83">
        <v>201228</v>
      </c>
      <c r="F1566" s="121"/>
      <c r="G1566" s="176">
        <f>5.06+51.84</f>
        <v>56.900000000000006</v>
      </c>
      <c r="H1566" s="131" t="s">
        <v>1789</v>
      </c>
      <c r="J1566" s="180" t="s">
        <v>1764</v>
      </c>
    </row>
    <row r="1567" spans="1:10" x14ac:dyDescent="0.2">
      <c r="A1567" s="213">
        <v>42621</v>
      </c>
      <c r="B1567" s="20" t="s">
        <v>127</v>
      </c>
      <c r="C1567" s="130"/>
      <c r="D1567" s="60">
        <v>376238825990</v>
      </c>
      <c r="E1567" s="83">
        <v>201228</v>
      </c>
      <c r="F1567" s="121"/>
      <c r="G1567" s="176">
        <f>8+57.95</f>
        <v>65.95</v>
      </c>
      <c r="H1567" s="131" t="s">
        <v>1790</v>
      </c>
      <c r="J1567" s="180" t="s">
        <v>1764</v>
      </c>
    </row>
    <row r="1568" spans="1:10" x14ac:dyDescent="0.2">
      <c r="A1568" s="213">
        <v>42621</v>
      </c>
      <c r="B1568" s="20" t="s">
        <v>127</v>
      </c>
      <c r="C1568" s="130"/>
      <c r="D1568" s="60">
        <v>376238825990</v>
      </c>
      <c r="E1568" s="83">
        <v>201228</v>
      </c>
      <c r="F1568" s="121"/>
      <c r="G1568" s="176">
        <f>76.58+366.32</f>
        <v>442.9</v>
      </c>
      <c r="H1568" s="131" t="s">
        <v>1791</v>
      </c>
      <c r="J1568" s="180" t="s">
        <v>1764</v>
      </c>
    </row>
    <row r="1569" spans="1:10" x14ac:dyDescent="0.2">
      <c r="A1569" s="213">
        <v>42621</v>
      </c>
      <c r="B1569" s="20" t="s">
        <v>127</v>
      </c>
      <c r="C1569" s="130"/>
      <c r="D1569" s="60">
        <v>376238825990</v>
      </c>
      <c r="E1569" s="83">
        <v>201228</v>
      </c>
      <c r="F1569" s="121"/>
      <c r="G1569" s="176">
        <f>61.7+234.2</f>
        <v>295.89999999999998</v>
      </c>
      <c r="H1569" s="131" t="s">
        <v>1792</v>
      </c>
      <c r="J1569" s="180" t="s">
        <v>1764</v>
      </c>
    </row>
    <row r="1570" spans="1:10" x14ac:dyDescent="0.2">
      <c r="A1570" s="213">
        <v>42621</v>
      </c>
      <c r="B1570" s="20" t="s">
        <v>127</v>
      </c>
      <c r="C1570" s="130"/>
      <c r="D1570" s="60">
        <v>376238825990</v>
      </c>
      <c r="E1570" s="83">
        <v>201228</v>
      </c>
      <c r="F1570" s="121"/>
      <c r="G1570" s="176">
        <f>20.18+128.77</f>
        <v>148.95000000000002</v>
      </c>
      <c r="H1570" s="131" t="s">
        <v>1793</v>
      </c>
      <c r="J1570" s="180" t="s">
        <v>1764</v>
      </c>
    </row>
    <row r="1571" spans="1:10" x14ac:dyDescent="0.2">
      <c r="A1571" s="213">
        <v>42622</v>
      </c>
      <c r="B1571" s="20" t="s">
        <v>127</v>
      </c>
      <c r="C1571" s="130"/>
      <c r="D1571" s="60">
        <v>376238825990</v>
      </c>
      <c r="E1571" s="83">
        <v>201228</v>
      </c>
      <c r="F1571" s="121"/>
      <c r="G1571" s="176">
        <f>45.82+123.08</f>
        <v>168.9</v>
      </c>
      <c r="H1571" s="131" t="s">
        <v>1794</v>
      </c>
      <c r="J1571" s="180" t="s">
        <v>1764</v>
      </c>
    </row>
    <row r="1572" spans="1:10" x14ac:dyDescent="0.2">
      <c r="A1572" s="213">
        <v>42622</v>
      </c>
      <c r="B1572" s="20" t="s">
        <v>127</v>
      </c>
      <c r="C1572" s="130"/>
      <c r="D1572" s="60">
        <v>376238825990</v>
      </c>
      <c r="E1572" s="83">
        <v>201228</v>
      </c>
      <c r="F1572" s="121"/>
      <c r="G1572" s="176">
        <f>45.74+114.17</f>
        <v>159.91</v>
      </c>
      <c r="H1572" s="131" t="s">
        <v>1795</v>
      </c>
      <c r="J1572" s="180" t="s">
        <v>1764</v>
      </c>
    </row>
    <row r="1573" spans="1:10" x14ac:dyDescent="0.2">
      <c r="A1573" s="213">
        <v>42619</v>
      </c>
      <c r="B1573" s="20" t="s">
        <v>127</v>
      </c>
      <c r="C1573" s="130"/>
      <c r="D1573" s="60">
        <v>376220322998</v>
      </c>
      <c r="E1573" s="83">
        <v>220501</v>
      </c>
      <c r="F1573" s="121"/>
      <c r="G1573" s="176">
        <f>12.6+108.47</f>
        <v>121.07</v>
      </c>
      <c r="H1573" s="131" t="s">
        <v>1796</v>
      </c>
      <c r="J1573" s="180" t="s">
        <v>1764</v>
      </c>
    </row>
    <row r="1574" spans="1:10" x14ac:dyDescent="0.2">
      <c r="A1574" s="213">
        <v>42621</v>
      </c>
      <c r="B1574" s="20" t="s">
        <v>127</v>
      </c>
      <c r="C1574" s="130"/>
      <c r="D1574" s="60">
        <v>376220322998</v>
      </c>
      <c r="E1574" s="83">
        <v>220501</v>
      </c>
      <c r="F1574" s="121"/>
      <c r="G1574" s="176">
        <f>6.08+30</f>
        <v>36.08</v>
      </c>
      <c r="H1574" s="131" t="s">
        <v>1797</v>
      </c>
      <c r="J1574" s="180" t="s">
        <v>1764</v>
      </c>
    </row>
    <row r="1575" spans="1:10" x14ac:dyDescent="0.2">
      <c r="A1575" s="213">
        <v>42619</v>
      </c>
      <c r="B1575" s="20" t="s">
        <v>127</v>
      </c>
      <c r="C1575" s="130"/>
      <c r="D1575" s="60">
        <v>376270713997</v>
      </c>
      <c r="E1575" s="83">
        <v>351215</v>
      </c>
      <c r="F1575" s="121"/>
      <c r="G1575" s="176">
        <v>95.59</v>
      </c>
      <c r="H1575" s="131" t="s">
        <v>1798</v>
      </c>
      <c r="J1575" s="39" t="s">
        <v>1799</v>
      </c>
    </row>
    <row r="1576" spans="1:10" x14ac:dyDescent="0.2">
      <c r="A1576" s="213">
        <v>42619</v>
      </c>
      <c r="B1576" s="20" t="s">
        <v>127</v>
      </c>
      <c r="C1576" s="130"/>
      <c r="D1576" s="60">
        <v>376270713997</v>
      </c>
      <c r="E1576" s="83">
        <v>351215</v>
      </c>
      <c r="F1576" s="121"/>
      <c r="G1576" s="176">
        <v>116.06</v>
      </c>
      <c r="H1576" s="131" t="s">
        <v>1800</v>
      </c>
      <c r="J1576" s="39" t="s">
        <v>1799</v>
      </c>
    </row>
    <row r="1577" spans="1:10" x14ac:dyDescent="0.2">
      <c r="A1577" s="213">
        <v>42619</v>
      </c>
      <c r="B1577" s="20" t="s">
        <v>127</v>
      </c>
      <c r="C1577" s="130"/>
      <c r="D1577" s="60">
        <v>376270713997</v>
      </c>
      <c r="E1577" s="83">
        <v>351215</v>
      </c>
      <c r="F1577" s="121"/>
      <c r="G1577" s="176">
        <v>62</v>
      </c>
      <c r="H1577" s="131" t="s">
        <v>1801</v>
      </c>
      <c r="J1577" s="39" t="s">
        <v>1799</v>
      </c>
    </row>
    <row r="1578" spans="1:10" x14ac:dyDescent="0.2">
      <c r="A1578" s="213">
        <v>42619</v>
      </c>
      <c r="B1578" s="20" t="s">
        <v>127</v>
      </c>
      <c r="C1578" s="130"/>
      <c r="D1578" s="60">
        <v>376270713997</v>
      </c>
      <c r="E1578" s="83">
        <v>351215</v>
      </c>
      <c r="F1578" s="121"/>
      <c r="G1578" s="176">
        <v>227.76</v>
      </c>
      <c r="H1578" s="131" t="s">
        <v>1802</v>
      </c>
      <c r="J1578" s="39" t="s">
        <v>1799</v>
      </c>
    </row>
    <row r="1579" spans="1:10" x14ac:dyDescent="0.2">
      <c r="A1579" s="213">
        <v>42619</v>
      </c>
      <c r="B1579" s="20" t="s">
        <v>127</v>
      </c>
      <c r="C1579" s="130"/>
      <c r="D1579" s="60">
        <v>376270713997</v>
      </c>
      <c r="E1579" s="83">
        <v>351215</v>
      </c>
      <c r="F1579" s="121"/>
      <c r="G1579" s="176">
        <v>67.52</v>
      </c>
      <c r="H1579" s="131" t="s">
        <v>1803</v>
      </c>
      <c r="J1579" s="39" t="s">
        <v>1799</v>
      </c>
    </row>
    <row r="1580" spans="1:10" x14ac:dyDescent="0.2">
      <c r="A1580" s="213">
        <v>42620</v>
      </c>
      <c r="B1580" s="20" t="s">
        <v>127</v>
      </c>
      <c r="C1580" s="130"/>
      <c r="D1580" s="60">
        <v>376270713997</v>
      </c>
      <c r="E1580" s="83">
        <v>351215</v>
      </c>
      <c r="F1580" s="121"/>
      <c r="G1580" s="176">
        <v>53</v>
      </c>
      <c r="H1580" s="131" t="s">
        <v>1804</v>
      </c>
      <c r="J1580" s="39" t="s">
        <v>1799</v>
      </c>
    </row>
    <row r="1581" spans="1:10" x14ac:dyDescent="0.2">
      <c r="A1581" s="213">
        <v>42620</v>
      </c>
      <c r="B1581" s="20" t="s">
        <v>127</v>
      </c>
      <c r="C1581" s="130"/>
      <c r="D1581" s="60">
        <v>376270713997</v>
      </c>
      <c r="E1581" s="83">
        <v>351215</v>
      </c>
      <c r="F1581" s="121"/>
      <c r="G1581" s="176">
        <v>94</v>
      </c>
      <c r="H1581" s="131" t="s">
        <v>1805</v>
      </c>
      <c r="J1581" s="39" t="s">
        <v>1799</v>
      </c>
    </row>
    <row r="1582" spans="1:10" x14ac:dyDescent="0.2">
      <c r="A1582" s="213">
        <v>42621</v>
      </c>
      <c r="B1582" s="20" t="s">
        <v>127</v>
      </c>
      <c r="C1582" s="130"/>
      <c r="D1582" s="60">
        <v>376270713997</v>
      </c>
      <c r="E1582" s="83">
        <v>351215</v>
      </c>
      <c r="F1582" s="121"/>
      <c r="G1582" s="176">
        <v>125.36</v>
      </c>
      <c r="H1582" s="131" t="s">
        <v>1806</v>
      </c>
      <c r="J1582" s="39" t="s">
        <v>1799</v>
      </c>
    </row>
    <row r="1583" spans="1:10" x14ac:dyDescent="0.2">
      <c r="A1583" s="213">
        <v>42621</v>
      </c>
      <c r="B1583" s="20" t="s">
        <v>127</v>
      </c>
      <c r="C1583" s="130"/>
      <c r="D1583" s="60">
        <v>376270713997</v>
      </c>
      <c r="E1583" s="83">
        <v>351215</v>
      </c>
      <c r="F1583" s="121"/>
      <c r="G1583" s="176">
        <v>88</v>
      </c>
      <c r="H1583" s="131" t="s">
        <v>1807</v>
      </c>
      <c r="J1583" s="39" t="s">
        <v>1799</v>
      </c>
    </row>
    <row r="1584" spans="1:10" x14ac:dyDescent="0.2">
      <c r="A1584" s="213">
        <v>42621</v>
      </c>
      <c r="B1584" s="20" t="s">
        <v>127</v>
      </c>
      <c r="C1584" s="130"/>
      <c r="D1584" s="60">
        <v>376270713997</v>
      </c>
      <c r="E1584" s="83">
        <v>351215</v>
      </c>
      <c r="F1584" s="121"/>
      <c r="G1584" s="176">
        <v>343.36</v>
      </c>
      <c r="H1584" s="131" t="s">
        <v>1808</v>
      </c>
      <c r="J1584" s="39" t="s">
        <v>1799</v>
      </c>
    </row>
    <row r="1585" spans="1:11" x14ac:dyDescent="0.2">
      <c r="A1585" s="213">
        <v>42622</v>
      </c>
      <c r="B1585" s="20" t="s">
        <v>127</v>
      </c>
      <c r="C1585" s="130"/>
      <c r="D1585" s="60">
        <v>376270713997</v>
      </c>
      <c r="E1585" s="83">
        <v>351215</v>
      </c>
      <c r="F1585" s="121"/>
      <c r="G1585" s="176">
        <v>159.91</v>
      </c>
      <c r="H1585" s="131" t="s">
        <v>1809</v>
      </c>
      <c r="J1585" s="39" t="s">
        <v>1799</v>
      </c>
    </row>
    <row r="1586" spans="1:11" s="203" customFormat="1" x14ac:dyDescent="0.2">
      <c r="A1586" s="221" t="s">
        <v>1951</v>
      </c>
      <c r="B1586" s="216" t="s">
        <v>0</v>
      </c>
      <c r="C1586" s="203" t="s">
        <v>209</v>
      </c>
      <c r="D1586" s="299" t="s">
        <v>1810</v>
      </c>
      <c r="E1586" s="85">
        <v>350938</v>
      </c>
      <c r="F1586" s="301" t="s">
        <v>1811</v>
      </c>
      <c r="G1586" s="271">
        <v>128.61000000000001</v>
      </c>
      <c r="H1586" s="223"/>
      <c r="J1586" s="302" t="s">
        <v>246</v>
      </c>
    </row>
    <row r="1587" spans="1:11" s="203" customFormat="1" x14ac:dyDescent="0.2">
      <c r="A1587" s="221" t="s">
        <v>1951</v>
      </c>
      <c r="B1587" s="216" t="s">
        <v>0</v>
      </c>
      <c r="C1587" s="203" t="s">
        <v>209</v>
      </c>
      <c r="D1587" s="217" t="s">
        <v>1812</v>
      </c>
      <c r="E1587" s="85">
        <v>211944</v>
      </c>
      <c r="F1587" s="301" t="s">
        <v>1813</v>
      </c>
      <c r="G1587" s="218">
        <v>104.95</v>
      </c>
      <c r="J1587" s="302" t="s">
        <v>246</v>
      </c>
    </row>
    <row r="1588" spans="1:11" x14ac:dyDescent="0.2">
      <c r="A1588" s="213">
        <v>42626</v>
      </c>
      <c r="B1588" s="20" t="s">
        <v>127</v>
      </c>
      <c r="C1588" s="130"/>
      <c r="D1588" s="60">
        <v>376238825990</v>
      </c>
      <c r="E1588" s="83">
        <v>226391</v>
      </c>
      <c r="F1588" s="121"/>
      <c r="G1588" s="176">
        <f>33.66+45.84</f>
        <v>79.5</v>
      </c>
      <c r="H1588" s="131" t="s">
        <v>1814</v>
      </c>
      <c r="J1588" s="180" t="s">
        <v>1764</v>
      </c>
    </row>
    <row r="1589" spans="1:11" x14ac:dyDescent="0.2">
      <c r="A1589" s="213">
        <v>42626</v>
      </c>
      <c r="B1589" s="20" t="s">
        <v>127</v>
      </c>
      <c r="C1589" s="130"/>
      <c r="D1589" s="60">
        <v>376238825990</v>
      </c>
      <c r="E1589" s="83">
        <v>226391</v>
      </c>
      <c r="F1589" s="121"/>
      <c r="G1589" s="176">
        <f>8+25.95</f>
        <v>33.950000000000003</v>
      </c>
      <c r="H1589" s="131" t="s">
        <v>1815</v>
      </c>
      <c r="J1589" s="180" t="s">
        <v>1764</v>
      </c>
    </row>
    <row r="1590" spans="1:11" x14ac:dyDescent="0.2">
      <c r="A1590" s="213">
        <v>42626</v>
      </c>
      <c r="B1590" s="20" t="s">
        <v>127</v>
      </c>
      <c r="C1590" s="130"/>
      <c r="D1590" s="60">
        <v>376238825990</v>
      </c>
      <c r="E1590" s="83">
        <v>226391</v>
      </c>
      <c r="F1590" s="121"/>
      <c r="G1590" s="176">
        <f>16.23+85.64</f>
        <v>101.87</v>
      </c>
      <c r="H1590" s="131" t="s">
        <v>1816</v>
      </c>
      <c r="J1590" s="180" t="s">
        <v>1764</v>
      </c>
    </row>
    <row r="1591" spans="1:11" x14ac:dyDescent="0.2">
      <c r="A1591" s="213">
        <v>42626</v>
      </c>
      <c r="B1591" s="20" t="s">
        <v>127</v>
      </c>
      <c r="C1591" s="130"/>
      <c r="D1591" s="60">
        <v>376238825990</v>
      </c>
      <c r="E1591" s="83">
        <v>226391</v>
      </c>
      <c r="F1591" s="121"/>
      <c r="G1591" s="176">
        <f>8+61.15</f>
        <v>69.150000000000006</v>
      </c>
      <c r="H1591" s="131" t="s">
        <v>1817</v>
      </c>
      <c r="J1591" s="180" t="s">
        <v>1764</v>
      </c>
    </row>
    <row r="1592" spans="1:11" x14ac:dyDescent="0.2">
      <c r="A1592" s="213">
        <v>42627</v>
      </c>
      <c r="B1592" s="20" t="s">
        <v>127</v>
      </c>
      <c r="C1592" s="130"/>
      <c r="D1592" s="60">
        <v>376238825990</v>
      </c>
      <c r="E1592" s="83">
        <v>226391</v>
      </c>
      <c r="F1592" s="121"/>
      <c r="G1592" s="176">
        <f>35.61+473.29</f>
        <v>508.90000000000003</v>
      </c>
      <c r="H1592" s="131" t="s">
        <v>1818</v>
      </c>
      <c r="J1592" s="180" t="s">
        <v>1764</v>
      </c>
    </row>
    <row r="1593" spans="1:11" x14ac:dyDescent="0.2">
      <c r="A1593" s="213">
        <v>42628</v>
      </c>
      <c r="B1593" s="20" t="s">
        <v>127</v>
      </c>
      <c r="C1593" s="130"/>
      <c r="D1593" s="60">
        <v>376238825990</v>
      </c>
      <c r="E1593" s="83">
        <v>226391</v>
      </c>
      <c r="F1593" s="121"/>
      <c r="G1593" s="176">
        <f>8+66.95</f>
        <v>74.95</v>
      </c>
      <c r="H1593" s="131" t="s">
        <v>1819</v>
      </c>
      <c r="J1593" s="180" t="s">
        <v>1764</v>
      </c>
    </row>
    <row r="1594" spans="1:11" x14ac:dyDescent="0.2">
      <c r="A1594" s="213">
        <v>42629</v>
      </c>
      <c r="B1594" s="20" t="s">
        <v>127</v>
      </c>
      <c r="C1594" s="130"/>
      <c r="D1594" s="60">
        <v>376238825990</v>
      </c>
      <c r="E1594" s="83">
        <v>226391</v>
      </c>
      <c r="F1594" s="121"/>
      <c r="G1594" s="176">
        <f>8+193.85</f>
        <v>201.85</v>
      </c>
      <c r="H1594" s="131" t="s">
        <v>1820</v>
      </c>
      <c r="J1594" s="180" t="s">
        <v>1764</v>
      </c>
    </row>
    <row r="1595" spans="1:11" x14ac:dyDescent="0.2">
      <c r="A1595" s="213">
        <v>42628</v>
      </c>
      <c r="B1595" s="20" t="s">
        <v>127</v>
      </c>
      <c r="C1595" s="130"/>
      <c r="D1595" s="60">
        <v>376220322998</v>
      </c>
      <c r="E1595" s="83">
        <v>220501</v>
      </c>
      <c r="F1595" s="121"/>
      <c r="G1595" s="176">
        <f>11.61+58.23</f>
        <v>69.84</v>
      </c>
      <c r="H1595" s="131" t="s">
        <v>1821</v>
      </c>
      <c r="J1595" s="180" t="s">
        <v>1764</v>
      </c>
    </row>
    <row r="1596" spans="1:11" x14ac:dyDescent="0.2">
      <c r="A1596" s="213">
        <v>42628</v>
      </c>
      <c r="B1596" s="20" t="s">
        <v>127</v>
      </c>
      <c r="C1596" s="130"/>
      <c r="D1596" s="60">
        <v>376220322998</v>
      </c>
      <c r="E1596" s="83">
        <v>220501</v>
      </c>
      <c r="F1596" s="121"/>
      <c r="G1596" s="176">
        <f>10.64+51.72</f>
        <v>62.36</v>
      </c>
      <c r="H1596" s="131" t="s">
        <v>1822</v>
      </c>
      <c r="J1596" s="180" t="s">
        <v>1764</v>
      </c>
    </row>
    <row r="1597" spans="1:11" s="203" customFormat="1" x14ac:dyDescent="0.2">
      <c r="A1597" s="215">
        <v>42627</v>
      </c>
      <c r="B1597" s="216" t="s">
        <v>127</v>
      </c>
      <c r="C1597" s="203" t="s">
        <v>151</v>
      </c>
      <c r="D1597" s="59">
        <v>376244923995</v>
      </c>
      <c r="E1597" s="85">
        <v>226743</v>
      </c>
      <c r="F1597" s="217"/>
      <c r="G1597" s="303">
        <f>2.9+23.66</f>
        <v>26.56</v>
      </c>
      <c r="H1597" s="223" t="s">
        <v>1823</v>
      </c>
      <c r="J1597" s="279" t="s">
        <v>246</v>
      </c>
    </row>
    <row r="1598" spans="1:11" s="203" customFormat="1" x14ac:dyDescent="0.2">
      <c r="A1598" s="215">
        <v>42628</v>
      </c>
      <c r="B1598" s="216" t="s">
        <v>127</v>
      </c>
      <c r="C1598" s="203" t="s">
        <v>151</v>
      </c>
      <c r="D1598" s="59">
        <v>376244923995</v>
      </c>
      <c r="E1598" s="85">
        <v>226743</v>
      </c>
      <c r="F1598" s="217"/>
      <c r="G1598" s="303">
        <f>6.87+33.03</f>
        <v>39.9</v>
      </c>
      <c r="H1598" s="223" t="s">
        <v>1824</v>
      </c>
      <c r="J1598" s="279" t="s">
        <v>246</v>
      </c>
    </row>
    <row r="1599" spans="1:11" s="203" customFormat="1" x14ac:dyDescent="0.2">
      <c r="A1599" s="215">
        <v>42631</v>
      </c>
      <c r="B1599" s="216" t="s">
        <v>127</v>
      </c>
      <c r="C1599" s="203" t="s">
        <v>151</v>
      </c>
      <c r="D1599" s="59">
        <v>376244923995</v>
      </c>
      <c r="E1599" s="85">
        <v>226743</v>
      </c>
      <c r="F1599" s="217"/>
      <c r="G1599" s="303">
        <f>5.97+39.29</f>
        <v>45.26</v>
      </c>
      <c r="H1599" s="223" t="s">
        <v>1825</v>
      </c>
      <c r="J1599" s="279" t="s">
        <v>246</v>
      </c>
    </row>
    <row r="1600" spans="1:11" x14ac:dyDescent="0.2">
      <c r="A1600" s="213">
        <v>42625</v>
      </c>
      <c r="B1600" s="20" t="s">
        <v>127</v>
      </c>
      <c r="C1600" s="130"/>
      <c r="D1600" s="60">
        <v>376270713997</v>
      </c>
      <c r="E1600" s="83">
        <v>351215</v>
      </c>
      <c r="F1600" s="121"/>
      <c r="G1600" s="176">
        <v>106.2</v>
      </c>
      <c r="H1600" s="131" t="s">
        <v>1826</v>
      </c>
      <c r="J1600" s="193" t="s">
        <v>1827</v>
      </c>
      <c r="K1600" s="39"/>
    </row>
    <row r="1601" spans="1:11" x14ac:dyDescent="0.2">
      <c r="A1601" s="213">
        <v>42625</v>
      </c>
      <c r="B1601" s="20" t="s">
        <v>127</v>
      </c>
      <c r="C1601" s="130"/>
      <c r="D1601" s="60">
        <v>376270713997</v>
      </c>
      <c r="E1601" s="83">
        <v>351215</v>
      </c>
      <c r="F1601" s="121"/>
      <c r="G1601" s="176">
        <v>132.38</v>
      </c>
      <c r="H1601" s="131" t="s">
        <v>1828</v>
      </c>
      <c r="J1601" s="193" t="s">
        <v>1827</v>
      </c>
    </row>
    <row r="1602" spans="1:11" x14ac:dyDescent="0.2">
      <c r="A1602" s="213">
        <v>42625</v>
      </c>
      <c r="B1602" s="20" t="s">
        <v>127</v>
      </c>
      <c r="C1602" s="130"/>
      <c r="D1602" s="60">
        <v>376270713997</v>
      </c>
      <c r="E1602" s="83">
        <v>351215</v>
      </c>
      <c r="F1602" s="121"/>
      <c r="G1602" s="176">
        <v>128.63</v>
      </c>
      <c r="H1602" s="131" t="s">
        <v>1829</v>
      </c>
      <c r="J1602" s="193" t="s">
        <v>1827</v>
      </c>
    </row>
    <row r="1603" spans="1:11" x14ac:dyDescent="0.2">
      <c r="A1603" s="213">
        <v>42625</v>
      </c>
      <c r="B1603" s="20" t="s">
        <v>127</v>
      </c>
      <c r="C1603" s="130"/>
      <c r="D1603" s="60">
        <v>376270713997</v>
      </c>
      <c r="E1603" s="83">
        <v>351215</v>
      </c>
      <c r="F1603" s="121"/>
      <c r="G1603" s="176">
        <v>109.95</v>
      </c>
      <c r="H1603" s="131" t="s">
        <v>1830</v>
      </c>
      <c r="J1603" s="193" t="s">
        <v>1827</v>
      </c>
    </row>
    <row r="1604" spans="1:11" x14ac:dyDescent="0.2">
      <c r="A1604" s="213">
        <v>42625</v>
      </c>
      <c r="B1604" s="20" t="s">
        <v>127</v>
      </c>
      <c r="C1604" s="130"/>
      <c r="D1604" s="60">
        <v>376270713997</v>
      </c>
      <c r="E1604" s="83">
        <v>351215</v>
      </c>
      <c r="F1604" s="121"/>
      <c r="G1604" s="176">
        <v>52.32</v>
      </c>
      <c r="H1604" s="131" t="s">
        <v>1831</v>
      </c>
      <c r="J1604" s="193" t="s">
        <v>1827</v>
      </c>
    </row>
    <row r="1605" spans="1:11" x14ac:dyDescent="0.2">
      <c r="A1605" s="213">
        <v>42626</v>
      </c>
      <c r="B1605" s="20" t="s">
        <v>127</v>
      </c>
      <c r="C1605" s="130"/>
      <c r="D1605" s="60">
        <v>376270713997</v>
      </c>
      <c r="E1605" s="83">
        <v>351215</v>
      </c>
      <c r="F1605" s="121"/>
      <c r="G1605" s="176">
        <v>107.92</v>
      </c>
      <c r="H1605" s="131" t="s">
        <v>1832</v>
      </c>
      <c r="J1605" s="193" t="s">
        <v>1827</v>
      </c>
    </row>
    <row r="1606" spans="1:11" x14ac:dyDescent="0.2">
      <c r="A1606" s="213">
        <v>42627</v>
      </c>
      <c r="B1606" s="20" t="s">
        <v>127</v>
      </c>
      <c r="C1606" s="130"/>
      <c r="D1606" s="60">
        <v>376270713997</v>
      </c>
      <c r="E1606" s="83">
        <v>351215</v>
      </c>
      <c r="F1606" s="121"/>
      <c r="G1606" s="176">
        <v>89.1</v>
      </c>
      <c r="H1606" s="131" t="s">
        <v>1833</v>
      </c>
      <c r="J1606" s="193" t="s">
        <v>1827</v>
      </c>
    </row>
    <row r="1607" spans="1:11" x14ac:dyDescent="0.2">
      <c r="A1607" s="213">
        <v>42627</v>
      </c>
      <c r="B1607" s="20" t="s">
        <v>127</v>
      </c>
      <c r="C1607" s="130"/>
      <c r="D1607" s="60">
        <v>376270713997</v>
      </c>
      <c r="E1607" s="83">
        <v>351215</v>
      </c>
      <c r="F1607" s="121"/>
      <c r="G1607" s="176">
        <v>84.54</v>
      </c>
      <c r="H1607" s="131" t="s">
        <v>1834</v>
      </c>
      <c r="J1607" s="193" t="s">
        <v>1827</v>
      </c>
    </row>
    <row r="1608" spans="1:11" x14ac:dyDescent="0.2">
      <c r="A1608" s="213">
        <v>42627</v>
      </c>
      <c r="B1608" s="20" t="s">
        <v>127</v>
      </c>
      <c r="C1608" s="130"/>
      <c r="D1608" s="60">
        <v>376270713997</v>
      </c>
      <c r="E1608" s="83">
        <v>351215</v>
      </c>
      <c r="F1608" s="121"/>
      <c r="G1608" s="176">
        <v>115</v>
      </c>
      <c r="H1608" s="131" t="s">
        <v>1835</v>
      </c>
      <c r="J1608" s="193" t="s">
        <v>1827</v>
      </c>
    </row>
    <row r="1609" spans="1:11" x14ac:dyDescent="0.2">
      <c r="A1609" s="213">
        <v>42627</v>
      </c>
      <c r="B1609" s="20" t="s">
        <v>127</v>
      </c>
      <c r="C1609" s="130"/>
      <c r="D1609" s="60">
        <v>376270713997</v>
      </c>
      <c r="E1609" s="83">
        <v>351215</v>
      </c>
      <c r="F1609" s="121"/>
      <c r="G1609" s="176">
        <v>128.04</v>
      </c>
      <c r="H1609" s="131" t="s">
        <v>1836</v>
      </c>
      <c r="J1609" s="193" t="s">
        <v>1827</v>
      </c>
    </row>
    <row r="1610" spans="1:11" x14ac:dyDescent="0.2">
      <c r="A1610" s="213">
        <v>42627</v>
      </c>
      <c r="B1610" s="20" t="s">
        <v>127</v>
      </c>
      <c r="C1610" s="130"/>
      <c r="D1610" s="60">
        <v>376270713997</v>
      </c>
      <c r="E1610" s="83">
        <v>351215</v>
      </c>
      <c r="F1610" s="121"/>
      <c r="G1610" s="176">
        <v>113.64</v>
      </c>
      <c r="H1610" s="131" t="s">
        <v>1837</v>
      </c>
      <c r="J1610" s="193" t="s">
        <v>1827</v>
      </c>
    </row>
    <row r="1611" spans="1:11" x14ac:dyDescent="0.2">
      <c r="A1611" s="213">
        <v>42627</v>
      </c>
      <c r="B1611" s="20" t="s">
        <v>127</v>
      </c>
      <c r="C1611" s="130"/>
      <c r="D1611" s="60">
        <v>376270713997</v>
      </c>
      <c r="E1611" s="83">
        <v>351215</v>
      </c>
      <c r="F1611" s="121"/>
      <c r="G1611" s="176">
        <v>407.9</v>
      </c>
      <c r="H1611" s="131" t="s">
        <v>1838</v>
      </c>
      <c r="J1611" s="193" t="s">
        <v>1827</v>
      </c>
    </row>
    <row r="1612" spans="1:11" x14ac:dyDescent="0.2">
      <c r="A1612" s="213">
        <v>42627</v>
      </c>
      <c r="B1612" s="20" t="s">
        <v>127</v>
      </c>
      <c r="C1612" s="130"/>
      <c r="D1612" s="60">
        <v>376270713997</v>
      </c>
      <c r="E1612" s="83">
        <v>351215</v>
      </c>
      <c r="F1612" s="121"/>
      <c r="G1612" s="176">
        <v>113.54</v>
      </c>
      <c r="H1612" s="131" t="s">
        <v>1839</v>
      </c>
      <c r="J1612" s="193" t="s">
        <v>1827</v>
      </c>
    </row>
    <row r="1613" spans="1:11" x14ac:dyDescent="0.2">
      <c r="A1613" s="213">
        <v>42629</v>
      </c>
      <c r="B1613" s="20" t="s">
        <v>127</v>
      </c>
      <c r="C1613" s="130"/>
      <c r="D1613" s="60">
        <v>376270713997</v>
      </c>
      <c r="E1613" s="83">
        <v>351215</v>
      </c>
      <c r="F1613" s="121"/>
      <c r="G1613" s="176">
        <v>170.13</v>
      </c>
      <c r="H1613" s="131" t="s">
        <v>1840</v>
      </c>
      <c r="J1613" s="193" t="s">
        <v>1827</v>
      </c>
    </row>
    <row r="1614" spans="1:11" x14ac:dyDescent="0.2">
      <c r="A1614" s="119" t="s">
        <v>1952</v>
      </c>
      <c r="B1614" s="20" t="s">
        <v>0</v>
      </c>
      <c r="C1614" s="130"/>
      <c r="D1614" s="195" t="s">
        <v>1777</v>
      </c>
      <c r="E1614" s="83">
        <v>352537</v>
      </c>
      <c r="F1614" s="121" t="s">
        <v>1778</v>
      </c>
      <c r="G1614" s="176">
        <v>58.76</v>
      </c>
      <c r="H1614" s="131"/>
      <c r="J1614" s="193" t="s">
        <v>1841</v>
      </c>
      <c r="K1614" s="117" t="s">
        <v>1842</v>
      </c>
    </row>
    <row r="1615" spans="1:11" s="203" customFormat="1" x14ac:dyDescent="0.2">
      <c r="A1615" s="221" t="s">
        <v>1952</v>
      </c>
      <c r="B1615" s="216" t="s">
        <v>0</v>
      </c>
      <c r="C1615" s="203" t="s">
        <v>209</v>
      </c>
      <c r="D1615" s="299" t="s">
        <v>1373</v>
      </c>
      <c r="E1615" s="85">
        <v>351554</v>
      </c>
      <c r="F1615" s="217" t="s">
        <v>1843</v>
      </c>
      <c r="G1615" s="271">
        <v>13.2</v>
      </c>
      <c r="H1615" s="223"/>
      <c r="J1615" s="300" t="s">
        <v>246</v>
      </c>
    </row>
    <row r="1616" spans="1:11" s="203" customFormat="1" x14ac:dyDescent="0.2">
      <c r="A1616" s="221" t="s">
        <v>1952</v>
      </c>
      <c r="B1616" s="216" t="s">
        <v>0</v>
      </c>
      <c r="C1616" s="203" t="s">
        <v>209</v>
      </c>
      <c r="D1616" s="59">
        <v>376272411996</v>
      </c>
      <c r="E1616" s="68"/>
      <c r="F1616" s="304" t="s">
        <v>1844</v>
      </c>
      <c r="G1616" s="271">
        <v>182.27</v>
      </c>
      <c r="H1616" s="223"/>
      <c r="J1616" s="300" t="s">
        <v>246</v>
      </c>
    </row>
    <row r="1617" spans="1:10" x14ac:dyDescent="0.2">
      <c r="A1617" s="213">
        <v>42631</v>
      </c>
      <c r="B1617" s="20" t="s">
        <v>127</v>
      </c>
      <c r="C1617" s="130"/>
      <c r="D1617" s="60">
        <v>376270713997</v>
      </c>
      <c r="E1617" s="83">
        <v>351215</v>
      </c>
      <c r="F1617" s="121"/>
      <c r="G1617" s="176">
        <v>96.3</v>
      </c>
      <c r="H1617" s="131" t="s">
        <v>1845</v>
      </c>
      <c r="J1617" s="193" t="s">
        <v>1827</v>
      </c>
    </row>
    <row r="1618" spans="1:10" x14ac:dyDescent="0.2">
      <c r="A1618" s="213">
        <v>42631</v>
      </c>
      <c r="B1618" s="20" t="s">
        <v>127</v>
      </c>
      <c r="C1618" s="130"/>
      <c r="D1618" s="60">
        <v>376270713997</v>
      </c>
      <c r="E1618" s="83">
        <v>351215</v>
      </c>
      <c r="F1618" s="121"/>
      <c r="G1618" s="176">
        <v>248.57</v>
      </c>
      <c r="H1618" s="131" t="s">
        <v>1846</v>
      </c>
      <c r="J1618" s="193" t="s">
        <v>1827</v>
      </c>
    </row>
    <row r="1619" spans="1:10" x14ac:dyDescent="0.2">
      <c r="A1619" s="213">
        <v>42631</v>
      </c>
      <c r="B1619" s="20" t="s">
        <v>127</v>
      </c>
      <c r="C1619" s="130"/>
      <c r="D1619" s="60">
        <v>376270713997</v>
      </c>
      <c r="E1619" s="83">
        <v>351215</v>
      </c>
      <c r="F1619" s="121"/>
      <c r="G1619" s="176">
        <v>46.59</v>
      </c>
      <c r="H1619" s="131" t="s">
        <v>1847</v>
      </c>
      <c r="J1619" s="193" t="s">
        <v>1827</v>
      </c>
    </row>
    <row r="1620" spans="1:10" x14ac:dyDescent="0.2">
      <c r="A1620" s="213">
        <v>42632</v>
      </c>
      <c r="B1620" s="20" t="s">
        <v>127</v>
      </c>
      <c r="C1620" s="130"/>
      <c r="D1620" s="60">
        <v>376270713997</v>
      </c>
      <c r="E1620" s="83">
        <v>351215</v>
      </c>
      <c r="F1620" s="121"/>
      <c r="G1620" s="176">
        <v>67</v>
      </c>
      <c r="H1620" s="131" t="s">
        <v>1848</v>
      </c>
      <c r="J1620" s="193" t="s">
        <v>1827</v>
      </c>
    </row>
    <row r="1621" spans="1:10" x14ac:dyDescent="0.2">
      <c r="A1621" s="213">
        <v>42632</v>
      </c>
      <c r="B1621" s="20" t="s">
        <v>127</v>
      </c>
      <c r="C1621" s="130"/>
      <c r="D1621" s="60">
        <v>376270713997</v>
      </c>
      <c r="E1621" s="83">
        <v>351215</v>
      </c>
      <c r="F1621" s="121"/>
      <c r="G1621" s="176">
        <v>64.5</v>
      </c>
      <c r="H1621" s="131" t="s">
        <v>1849</v>
      </c>
      <c r="J1621" s="193" t="s">
        <v>1827</v>
      </c>
    </row>
    <row r="1622" spans="1:10" x14ac:dyDescent="0.2">
      <c r="A1622" s="213">
        <v>42632</v>
      </c>
      <c r="B1622" s="20" t="s">
        <v>127</v>
      </c>
      <c r="C1622" s="130"/>
      <c r="D1622" s="60">
        <v>376270713997</v>
      </c>
      <c r="E1622" s="83">
        <v>351215</v>
      </c>
      <c r="F1622" s="121"/>
      <c r="G1622" s="176">
        <v>343.44</v>
      </c>
      <c r="H1622" s="131" t="s">
        <v>1850</v>
      </c>
      <c r="J1622" s="193" t="s">
        <v>1827</v>
      </c>
    </row>
    <row r="1623" spans="1:10" x14ac:dyDescent="0.2">
      <c r="A1623" s="213">
        <v>42632</v>
      </c>
      <c r="B1623" s="20" t="s">
        <v>127</v>
      </c>
      <c r="C1623" s="130"/>
      <c r="D1623" s="60">
        <v>376270713997</v>
      </c>
      <c r="E1623" s="83">
        <v>351215</v>
      </c>
      <c r="F1623" s="121"/>
      <c r="G1623" s="176">
        <v>88</v>
      </c>
      <c r="H1623" s="131" t="s">
        <v>1851</v>
      </c>
      <c r="J1623" s="193" t="s">
        <v>1827</v>
      </c>
    </row>
    <row r="1624" spans="1:10" x14ac:dyDescent="0.2">
      <c r="A1624" s="213">
        <v>42632</v>
      </c>
      <c r="B1624" s="20" t="s">
        <v>127</v>
      </c>
      <c r="C1624" s="130"/>
      <c r="D1624" s="60">
        <v>376270713997</v>
      </c>
      <c r="E1624" s="83">
        <v>351215</v>
      </c>
      <c r="F1624" s="121"/>
      <c r="G1624" s="176">
        <v>88</v>
      </c>
      <c r="H1624" s="131" t="s">
        <v>1852</v>
      </c>
      <c r="J1624" s="193" t="s">
        <v>1827</v>
      </c>
    </row>
    <row r="1625" spans="1:10" x14ac:dyDescent="0.2">
      <c r="A1625" s="213">
        <v>42632</v>
      </c>
      <c r="B1625" s="20" t="s">
        <v>127</v>
      </c>
      <c r="C1625" s="130"/>
      <c r="D1625" s="60">
        <v>376270713997</v>
      </c>
      <c r="E1625" s="83">
        <v>351215</v>
      </c>
      <c r="F1625" s="121"/>
      <c r="G1625" s="176">
        <v>51</v>
      </c>
      <c r="H1625" s="131" t="s">
        <v>1853</v>
      </c>
      <c r="J1625" s="193" t="s">
        <v>1827</v>
      </c>
    </row>
    <row r="1626" spans="1:10" x14ac:dyDescent="0.2">
      <c r="A1626" s="213">
        <v>42632</v>
      </c>
      <c r="B1626" s="20" t="s">
        <v>127</v>
      </c>
      <c r="C1626" s="130"/>
      <c r="D1626" s="60">
        <v>376270713997</v>
      </c>
      <c r="E1626" s="83">
        <v>351215</v>
      </c>
      <c r="F1626" s="121"/>
      <c r="G1626" s="176">
        <v>55.59</v>
      </c>
      <c r="H1626" s="131" t="s">
        <v>1854</v>
      </c>
      <c r="J1626" s="193" t="s">
        <v>1827</v>
      </c>
    </row>
    <row r="1627" spans="1:10" x14ac:dyDescent="0.2">
      <c r="A1627" s="213">
        <v>42633</v>
      </c>
      <c r="B1627" s="20" t="s">
        <v>127</v>
      </c>
      <c r="C1627" s="130"/>
      <c r="D1627" s="60">
        <v>376270713997</v>
      </c>
      <c r="E1627" s="83">
        <v>351215</v>
      </c>
      <c r="F1627" s="121"/>
      <c r="G1627" s="176">
        <v>40.9</v>
      </c>
      <c r="H1627" s="131" t="s">
        <v>1855</v>
      </c>
      <c r="J1627" s="193" t="s">
        <v>1827</v>
      </c>
    </row>
    <row r="1628" spans="1:10" x14ac:dyDescent="0.2">
      <c r="A1628" s="213">
        <v>42634</v>
      </c>
      <c r="B1628" s="20" t="s">
        <v>127</v>
      </c>
      <c r="C1628" s="130"/>
      <c r="D1628" s="60">
        <v>376270713997</v>
      </c>
      <c r="E1628" s="83">
        <v>351215</v>
      </c>
      <c r="F1628" s="121"/>
      <c r="G1628" s="176">
        <v>127.44</v>
      </c>
      <c r="H1628" s="131" t="s">
        <v>1856</v>
      </c>
      <c r="J1628" s="193" t="s">
        <v>1827</v>
      </c>
    </row>
    <row r="1629" spans="1:10" x14ac:dyDescent="0.2">
      <c r="A1629" s="213">
        <v>42634</v>
      </c>
      <c r="B1629" s="20" t="s">
        <v>127</v>
      </c>
      <c r="C1629" s="130"/>
      <c r="D1629" s="60">
        <v>376270713997</v>
      </c>
      <c r="E1629" s="83">
        <v>351215</v>
      </c>
      <c r="F1629" s="121"/>
      <c r="G1629" s="176">
        <v>45.6</v>
      </c>
      <c r="H1629" s="131" t="s">
        <v>1857</v>
      </c>
      <c r="J1629" s="193" t="s">
        <v>1827</v>
      </c>
    </row>
    <row r="1630" spans="1:10" x14ac:dyDescent="0.2">
      <c r="A1630" s="213">
        <v>42634</v>
      </c>
      <c r="B1630" s="20" t="s">
        <v>127</v>
      </c>
      <c r="C1630" s="130"/>
      <c r="D1630" s="60">
        <v>376270713997</v>
      </c>
      <c r="E1630" s="83">
        <v>351215</v>
      </c>
      <c r="F1630" s="121"/>
      <c r="G1630" s="176">
        <v>124.49</v>
      </c>
      <c r="H1630" s="131" t="s">
        <v>1858</v>
      </c>
      <c r="J1630" s="193" t="s">
        <v>1827</v>
      </c>
    </row>
    <row r="1631" spans="1:10" x14ac:dyDescent="0.2">
      <c r="A1631" s="213">
        <v>42634</v>
      </c>
      <c r="B1631" s="20" t="s">
        <v>127</v>
      </c>
      <c r="C1631" s="130"/>
      <c r="D1631" s="60">
        <v>376270713997</v>
      </c>
      <c r="E1631" s="83">
        <v>351215</v>
      </c>
      <c r="F1631" s="121"/>
      <c r="G1631" s="176">
        <v>119.56</v>
      </c>
      <c r="H1631" s="131" t="s">
        <v>1859</v>
      </c>
      <c r="J1631" s="193" t="s">
        <v>1827</v>
      </c>
    </row>
    <row r="1632" spans="1:10" x14ac:dyDescent="0.2">
      <c r="A1632" s="213">
        <v>42635</v>
      </c>
      <c r="B1632" s="20" t="s">
        <v>127</v>
      </c>
      <c r="C1632" s="130"/>
      <c r="D1632" s="60">
        <v>376270713997</v>
      </c>
      <c r="E1632" s="83">
        <v>351215</v>
      </c>
      <c r="F1632" s="121"/>
      <c r="G1632" s="176">
        <v>88.2</v>
      </c>
      <c r="H1632" s="131" t="s">
        <v>1860</v>
      </c>
      <c r="J1632" s="193" t="s">
        <v>1827</v>
      </c>
    </row>
    <row r="1633" spans="1:10" x14ac:dyDescent="0.2">
      <c r="A1633" s="213">
        <v>42635</v>
      </c>
      <c r="B1633" s="20" t="s">
        <v>127</v>
      </c>
      <c r="C1633" s="130"/>
      <c r="D1633" s="60">
        <v>376270713997</v>
      </c>
      <c r="E1633" s="83">
        <v>351215</v>
      </c>
      <c r="F1633" s="121"/>
      <c r="G1633" s="176">
        <v>281</v>
      </c>
      <c r="H1633" s="131" t="s">
        <v>1861</v>
      </c>
      <c r="J1633" s="193" t="s">
        <v>1827</v>
      </c>
    </row>
    <row r="1634" spans="1:10" x14ac:dyDescent="0.2">
      <c r="A1634" s="213">
        <v>42635</v>
      </c>
      <c r="B1634" s="20" t="s">
        <v>127</v>
      </c>
      <c r="C1634" s="130"/>
      <c r="D1634" s="60">
        <v>376270713997</v>
      </c>
      <c r="E1634" s="83">
        <v>351215</v>
      </c>
      <c r="F1634" s="121"/>
      <c r="G1634" s="176">
        <v>57.77</v>
      </c>
      <c r="H1634" s="131" t="s">
        <v>1862</v>
      </c>
      <c r="J1634" s="193" t="s">
        <v>1827</v>
      </c>
    </row>
    <row r="1635" spans="1:10" x14ac:dyDescent="0.2">
      <c r="A1635" s="213">
        <v>42635</v>
      </c>
      <c r="B1635" s="20" t="s">
        <v>127</v>
      </c>
      <c r="C1635" s="130"/>
      <c r="D1635" s="60">
        <v>376270713997</v>
      </c>
      <c r="E1635" s="83">
        <v>351215</v>
      </c>
      <c r="F1635" s="121"/>
      <c r="G1635" s="176">
        <v>93.28</v>
      </c>
      <c r="H1635" s="131" t="s">
        <v>1863</v>
      </c>
      <c r="J1635" s="193" t="s">
        <v>1827</v>
      </c>
    </row>
    <row r="1636" spans="1:10" x14ac:dyDescent="0.2">
      <c r="A1636" s="213">
        <v>42635</v>
      </c>
      <c r="B1636" s="20" t="s">
        <v>127</v>
      </c>
      <c r="C1636" s="130"/>
      <c r="D1636" s="60">
        <v>376270713997</v>
      </c>
      <c r="E1636" s="83">
        <v>351215</v>
      </c>
      <c r="F1636" s="121"/>
      <c r="G1636" s="176">
        <v>52.68</v>
      </c>
      <c r="H1636" s="131" t="s">
        <v>1864</v>
      </c>
      <c r="J1636" s="193" t="s">
        <v>1827</v>
      </c>
    </row>
    <row r="1637" spans="1:10" x14ac:dyDescent="0.2">
      <c r="A1637" s="213">
        <v>42636</v>
      </c>
      <c r="B1637" s="20" t="s">
        <v>127</v>
      </c>
      <c r="C1637" s="130"/>
      <c r="D1637" s="60">
        <v>376270713997</v>
      </c>
      <c r="E1637" s="83">
        <v>351215</v>
      </c>
      <c r="F1637" s="121"/>
      <c r="G1637" s="176">
        <v>76.63</v>
      </c>
      <c r="H1637" s="131" t="s">
        <v>1865</v>
      </c>
      <c r="J1637" s="193" t="s">
        <v>1827</v>
      </c>
    </row>
    <row r="1638" spans="1:10" x14ac:dyDescent="0.2">
      <c r="A1638" s="213">
        <v>42632</v>
      </c>
      <c r="B1638" s="20" t="s">
        <v>127</v>
      </c>
      <c r="C1638" s="130"/>
      <c r="D1638" s="60">
        <v>376238825990</v>
      </c>
      <c r="E1638" s="83">
        <v>226391</v>
      </c>
      <c r="F1638" s="121"/>
      <c r="G1638" s="176">
        <f>8+38.15</f>
        <v>46.15</v>
      </c>
      <c r="H1638" s="131" t="s">
        <v>1866</v>
      </c>
      <c r="J1638" s="193" t="s">
        <v>1714</v>
      </c>
    </row>
    <row r="1639" spans="1:10" x14ac:dyDescent="0.2">
      <c r="A1639" s="213">
        <v>42632</v>
      </c>
      <c r="B1639" s="20" t="s">
        <v>127</v>
      </c>
      <c r="C1639" s="130"/>
      <c r="D1639" s="60">
        <v>376238825990</v>
      </c>
      <c r="E1639" s="83">
        <v>226391</v>
      </c>
      <c r="F1639" s="121"/>
      <c r="G1639" s="176">
        <f>8+55</f>
        <v>63</v>
      </c>
      <c r="H1639" s="131" t="s">
        <v>1867</v>
      </c>
      <c r="J1639" s="193" t="s">
        <v>1714</v>
      </c>
    </row>
    <row r="1640" spans="1:10" x14ac:dyDescent="0.2">
      <c r="A1640" s="213">
        <v>42633</v>
      </c>
      <c r="B1640" s="20" t="s">
        <v>127</v>
      </c>
      <c r="C1640" s="130"/>
      <c r="D1640" s="60">
        <v>376238825990</v>
      </c>
      <c r="E1640" s="83">
        <v>226391</v>
      </c>
      <c r="F1640" s="121"/>
      <c r="G1640" s="176">
        <f>17.68+91.27</f>
        <v>108.94999999999999</v>
      </c>
      <c r="H1640" s="131" t="s">
        <v>1868</v>
      </c>
      <c r="J1640" s="193" t="s">
        <v>1714</v>
      </c>
    </row>
    <row r="1641" spans="1:10" x14ac:dyDescent="0.2">
      <c r="A1641" s="213">
        <v>42633</v>
      </c>
      <c r="B1641" s="20" t="s">
        <v>127</v>
      </c>
      <c r="C1641" s="130"/>
      <c r="D1641" s="60">
        <v>376238825990</v>
      </c>
      <c r="E1641" s="83">
        <v>226391</v>
      </c>
      <c r="F1641" s="121"/>
      <c r="G1641" s="176">
        <f>8+52.15</f>
        <v>60.15</v>
      </c>
      <c r="H1641" s="131" t="s">
        <v>1869</v>
      </c>
      <c r="J1641" s="193" t="s">
        <v>1714</v>
      </c>
    </row>
    <row r="1642" spans="1:10" x14ac:dyDescent="0.2">
      <c r="A1642" s="213">
        <v>42634</v>
      </c>
      <c r="B1642" s="20" t="s">
        <v>127</v>
      </c>
      <c r="C1642" s="130"/>
      <c r="D1642" s="60">
        <v>376238825990</v>
      </c>
      <c r="E1642" s="83">
        <v>226391</v>
      </c>
      <c r="F1642" s="121"/>
      <c r="G1642" s="176">
        <f>92.01+138.22</f>
        <v>230.23000000000002</v>
      </c>
      <c r="H1642" s="131" t="s">
        <v>1870</v>
      </c>
      <c r="J1642" s="193" t="s">
        <v>1714</v>
      </c>
    </row>
    <row r="1643" spans="1:10" x14ac:dyDescent="0.2">
      <c r="A1643" s="213">
        <v>42634</v>
      </c>
      <c r="B1643" s="20" t="s">
        <v>127</v>
      </c>
      <c r="C1643" s="130"/>
      <c r="D1643" s="60">
        <v>376238825990</v>
      </c>
      <c r="E1643" s="83">
        <v>226391</v>
      </c>
      <c r="F1643" s="121"/>
      <c r="G1643" s="176">
        <f>16.85+42.1</f>
        <v>58.95</v>
      </c>
      <c r="H1643" s="131" t="s">
        <v>1871</v>
      </c>
      <c r="J1643" s="193" t="s">
        <v>1714</v>
      </c>
    </row>
    <row r="1644" spans="1:10" x14ac:dyDescent="0.2">
      <c r="A1644" s="213">
        <v>42634</v>
      </c>
      <c r="B1644" s="20" t="s">
        <v>127</v>
      </c>
      <c r="C1644" s="130"/>
      <c r="D1644" s="60">
        <v>376238825990</v>
      </c>
      <c r="E1644" s="83">
        <v>226391</v>
      </c>
      <c r="F1644" s="121"/>
      <c r="G1644" s="176">
        <f>5.06+30.6</f>
        <v>35.660000000000004</v>
      </c>
      <c r="H1644" s="131" t="s">
        <v>1872</v>
      </c>
      <c r="J1644" s="193" t="s">
        <v>1714</v>
      </c>
    </row>
    <row r="1645" spans="1:10" x14ac:dyDescent="0.2">
      <c r="A1645" s="213">
        <v>42634</v>
      </c>
      <c r="B1645" s="20" t="s">
        <v>127</v>
      </c>
      <c r="C1645" s="130"/>
      <c r="D1645" s="60">
        <v>376238825990</v>
      </c>
      <c r="E1645" s="83">
        <v>226391</v>
      </c>
      <c r="F1645" s="121"/>
      <c r="G1645" s="176">
        <f>8+34.95</f>
        <v>42.95</v>
      </c>
      <c r="H1645" s="131" t="s">
        <v>1873</v>
      </c>
      <c r="J1645" s="193" t="s">
        <v>1714</v>
      </c>
    </row>
    <row r="1646" spans="1:10" x14ac:dyDescent="0.2">
      <c r="A1646" s="213">
        <v>42632</v>
      </c>
      <c r="B1646" s="20" t="s">
        <v>127</v>
      </c>
      <c r="C1646" s="130"/>
      <c r="D1646" s="60">
        <v>376220322998</v>
      </c>
      <c r="E1646" s="83">
        <v>220501</v>
      </c>
      <c r="F1646" s="121"/>
      <c r="G1646" s="176">
        <f>8.99+78.16</f>
        <v>87.149999999999991</v>
      </c>
      <c r="H1646" s="131" t="s">
        <v>1874</v>
      </c>
      <c r="J1646" s="193" t="s">
        <v>1714</v>
      </c>
    </row>
    <row r="1647" spans="1:10" x14ac:dyDescent="0.2">
      <c r="A1647" s="213">
        <v>42633</v>
      </c>
      <c r="B1647" s="20" t="s">
        <v>127</v>
      </c>
      <c r="C1647" s="130"/>
      <c r="D1647" s="60">
        <v>376220322998</v>
      </c>
      <c r="E1647" s="83">
        <v>220501</v>
      </c>
      <c r="F1647" s="121"/>
      <c r="G1647" s="176">
        <f>25.66+69.81</f>
        <v>95.47</v>
      </c>
      <c r="H1647" s="131" t="s">
        <v>1875</v>
      </c>
      <c r="J1647" s="193" t="s">
        <v>1714</v>
      </c>
    </row>
    <row r="1648" spans="1:10" s="203" customFormat="1" x14ac:dyDescent="0.2">
      <c r="A1648" s="215">
        <v>42636</v>
      </c>
      <c r="B1648" s="216" t="s">
        <v>127</v>
      </c>
      <c r="C1648" s="203" t="s">
        <v>151</v>
      </c>
      <c r="D1648" s="59">
        <v>376212827996</v>
      </c>
      <c r="E1648" s="85">
        <v>223720</v>
      </c>
      <c r="F1648" s="217"/>
      <c r="G1648" s="271">
        <v>68.92</v>
      </c>
      <c r="H1648" s="223" t="s">
        <v>1876</v>
      </c>
      <c r="J1648" s="300" t="s">
        <v>1877</v>
      </c>
    </row>
    <row r="1649" spans="1:11" s="203" customFormat="1" x14ac:dyDescent="0.2">
      <c r="A1649" s="221" t="s">
        <v>1953</v>
      </c>
      <c r="B1649" s="216" t="s">
        <v>0</v>
      </c>
      <c r="C1649" s="203" t="s">
        <v>209</v>
      </c>
      <c r="D1649" s="299" t="s">
        <v>1450</v>
      </c>
      <c r="E1649" s="85">
        <v>350952</v>
      </c>
      <c r="F1649" s="217" t="s">
        <v>1878</v>
      </c>
      <c r="G1649" s="305">
        <v>38.299999999999997</v>
      </c>
      <c r="H1649" s="223"/>
      <c r="J1649" s="300" t="s">
        <v>246</v>
      </c>
    </row>
    <row r="1650" spans="1:11" x14ac:dyDescent="0.2">
      <c r="A1650" s="119" t="s">
        <v>1953</v>
      </c>
      <c r="B1650" s="20" t="s">
        <v>0</v>
      </c>
      <c r="C1650" s="19"/>
      <c r="D1650" s="195" t="s">
        <v>102</v>
      </c>
      <c r="E1650" s="83">
        <v>213054</v>
      </c>
      <c r="F1650" s="121" t="s">
        <v>1879</v>
      </c>
      <c r="G1650" s="176">
        <v>84.18</v>
      </c>
      <c r="H1650" s="131"/>
      <c r="J1650" s="193" t="s">
        <v>6</v>
      </c>
      <c r="K1650" s="19" t="s">
        <v>1880</v>
      </c>
    </row>
    <row r="1651" spans="1:11" s="203" customFormat="1" x14ac:dyDescent="0.2">
      <c r="A1651" s="221" t="s">
        <v>1953</v>
      </c>
      <c r="B1651" s="216" t="s">
        <v>0</v>
      </c>
      <c r="C1651" s="203" t="s">
        <v>209</v>
      </c>
      <c r="D1651" s="299" t="s">
        <v>106</v>
      </c>
      <c r="E1651" s="85">
        <v>350557</v>
      </c>
      <c r="F1651" s="217" t="s">
        <v>1881</v>
      </c>
      <c r="G1651" s="305">
        <v>167.9</v>
      </c>
      <c r="H1651" s="223"/>
      <c r="J1651" s="300" t="s">
        <v>246</v>
      </c>
    </row>
    <row r="1652" spans="1:11" x14ac:dyDescent="0.2">
      <c r="A1652" s="119" t="s">
        <v>1953</v>
      </c>
      <c r="B1652" s="20" t="s">
        <v>0</v>
      </c>
      <c r="C1652" s="19"/>
      <c r="D1652" s="195" t="s">
        <v>1882</v>
      </c>
      <c r="E1652" s="83">
        <v>350253</v>
      </c>
      <c r="F1652" s="121" t="s">
        <v>1883</v>
      </c>
      <c r="G1652" s="176">
        <v>354.3</v>
      </c>
      <c r="H1652" s="131"/>
      <c r="J1652" s="193" t="s">
        <v>6</v>
      </c>
      <c r="K1652" s="19" t="s">
        <v>1880</v>
      </c>
    </row>
    <row r="1653" spans="1:11" s="203" customFormat="1" x14ac:dyDescent="0.2">
      <c r="A1653" s="221" t="s">
        <v>1953</v>
      </c>
      <c r="B1653" s="216" t="s">
        <v>0</v>
      </c>
      <c r="C1653" s="203" t="s">
        <v>209</v>
      </c>
      <c r="D1653" s="299" t="s">
        <v>1884</v>
      </c>
      <c r="E1653" s="85">
        <v>351952</v>
      </c>
      <c r="F1653" s="217"/>
      <c r="G1653" s="305">
        <v>52.95</v>
      </c>
      <c r="H1653" s="223"/>
      <c r="J1653" s="300" t="s">
        <v>246</v>
      </c>
    </row>
    <row r="1654" spans="1:11" x14ac:dyDescent="0.2">
      <c r="A1654" s="185" t="s">
        <v>1954</v>
      </c>
      <c r="B1654" s="20" t="s">
        <v>0</v>
      </c>
      <c r="C1654" s="19"/>
      <c r="D1654" s="60">
        <v>376211771997</v>
      </c>
      <c r="E1654" s="83">
        <v>201372</v>
      </c>
      <c r="F1654" s="121" t="s">
        <v>118</v>
      </c>
      <c r="G1654" s="176">
        <v>48.39</v>
      </c>
      <c r="H1654" s="131"/>
      <c r="J1654" s="193" t="s">
        <v>6</v>
      </c>
    </row>
    <row r="1655" spans="1:11" x14ac:dyDescent="0.2">
      <c r="A1655" s="185" t="s">
        <v>1954</v>
      </c>
      <c r="B1655" s="20" t="s">
        <v>0</v>
      </c>
      <c r="C1655" s="19"/>
      <c r="D1655" s="60">
        <v>376211771997</v>
      </c>
      <c r="E1655" s="83">
        <v>201372</v>
      </c>
      <c r="F1655" s="121" t="s">
        <v>119</v>
      </c>
      <c r="G1655" s="176">
        <v>147.94999999999999</v>
      </c>
      <c r="H1655" s="131"/>
      <c r="J1655" s="193" t="s">
        <v>6</v>
      </c>
    </row>
    <row r="1656" spans="1:11" x14ac:dyDescent="0.2">
      <c r="A1656" s="185" t="s">
        <v>1954</v>
      </c>
      <c r="B1656" s="20" t="s">
        <v>0</v>
      </c>
      <c r="C1656" s="19"/>
      <c r="D1656" s="60">
        <v>376211771997</v>
      </c>
      <c r="E1656" s="83">
        <v>201372</v>
      </c>
      <c r="F1656" s="121" t="s">
        <v>120</v>
      </c>
      <c r="G1656" s="176">
        <v>125.95</v>
      </c>
      <c r="H1656" s="131"/>
      <c r="J1656" s="193" t="s">
        <v>6</v>
      </c>
    </row>
    <row r="1657" spans="1:11" s="203" customFormat="1" x14ac:dyDescent="0.2">
      <c r="A1657" s="236" t="s">
        <v>1954</v>
      </c>
      <c r="B1657" s="216" t="s">
        <v>0</v>
      </c>
      <c r="C1657" s="203" t="s">
        <v>209</v>
      </c>
      <c r="D1657" s="59">
        <v>376227273996</v>
      </c>
      <c r="E1657" s="85">
        <v>212067</v>
      </c>
      <c r="F1657" s="217" t="s">
        <v>1885</v>
      </c>
      <c r="G1657" s="271">
        <v>137.18</v>
      </c>
      <c r="H1657" s="223"/>
      <c r="J1657" s="300" t="s">
        <v>246</v>
      </c>
    </row>
    <row r="1658" spans="1:11" x14ac:dyDescent="0.2">
      <c r="A1658" s="185" t="s">
        <v>1954</v>
      </c>
      <c r="B1658" s="20" t="s">
        <v>58</v>
      </c>
      <c r="C1658" s="19"/>
      <c r="D1658" s="60">
        <v>376230873998</v>
      </c>
      <c r="E1658" s="83">
        <v>226205</v>
      </c>
      <c r="F1658" s="121" t="s">
        <v>207</v>
      </c>
      <c r="G1658" s="176">
        <v>104.95</v>
      </c>
      <c r="H1658" s="131"/>
      <c r="J1658" s="193" t="s">
        <v>208</v>
      </c>
    </row>
    <row r="1659" spans="1:11" s="203" customFormat="1" x14ac:dyDescent="0.2">
      <c r="A1659" s="236" t="s">
        <v>1954</v>
      </c>
      <c r="B1659" s="216" t="s">
        <v>0</v>
      </c>
      <c r="C1659" s="203" t="s">
        <v>209</v>
      </c>
      <c r="D1659" s="217" t="s">
        <v>1886</v>
      </c>
      <c r="E1659" s="85">
        <v>351763</v>
      </c>
      <c r="F1659" s="217" t="s">
        <v>1887</v>
      </c>
      <c r="G1659" s="218">
        <v>98.39</v>
      </c>
      <c r="J1659" s="300" t="s">
        <v>246</v>
      </c>
    </row>
    <row r="1660" spans="1:11" s="203" customFormat="1" x14ac:dyDescent="0.2">
      <c r="A1660" s="236" t="s">
        <v>1954</v>
      </c>
      <c r="B1660" s="216" t="s">
        <v>0</v>
      </c>
      <c r="C1660" s="203" t="s">
        <v>209</v>
      </c>
      <c r="D1660" s="217" t="s">
        <v>1888</v>
      </c>
      <c r="E1660" s="85">
        <v>211714</v>
      </c>
      <c r="F1660" s="217" t="s">
        <v>1889</v>
      </c>
      <c r="G1660" s="218">
        <v>71.900000000000006</v>
      </c>
      <c r="J1660" s="300" t="s">
        <v>246</v>
      </c>
    </row>
    <row r="1661" spans="1:11" s="203" customFormat="1" x14ac:dyDescent="0.2">
      <c r="A1661" s="236" t="s">
        <v>1954</v>
      </c>
      <c r="B1661" s="216" t="s">
        <v>0</v>
      </c>
      <c r="C1661" s="203" t="s">
        <v>209</v>
      </c>
      <c r="D1661" s="217" t="s">
        <v>102</v>
      </c>
      <c r="E1661" s="85">
        <v>213054</v>
      </c>
      <c r="F1661" s="217" t="s">
        <v>1890</v>
      </c>
      <c r="G1661" s="218">
        <v>125.17</v>
      </c>
      <c r="J1661" s="300" t="s">
        <v>246</v>
      </c>
    </row>
    <row r="1662" spans="1:11" s="203" customFormat="1" x14ac:dyDescent="0.2">
      <c r="A1662" s="236" t="s">
        <v>1954</v>
      </c>
      <c r="B1662" s="216" t="s">
        <v>0</v>
      </c>
      <c r="C1662" s="203" t="s">
        <v>209</v>
      </c>
      <c r="D1662" s="217" t="s">
        <v>1891</v>
      </c>
      <c r="E1662" s="85">
        <v>350961</v>
      </c>
      <c r="F1662" s="217" t="s">
        <v>1892</v>
      </c>
      <c r="G1662" s="218">
        <v>41.9</v>
      </c>
      <c r="J1662" s="300" t="s">
        <v>246</v>
      </c>
    </row>
    <row r="1663" spans="1:11" s="203" customFormat="1" x14ac:dyDescent="0.2">
      <c r="A1663" s="236" t="s">
        <v>1954</v>
      </c>
      <c r="B1663" s="216" t="s">
        <v>0</v>
      </c>
      <c r="C1663" s="203" t="s">
        <v>209</v>
      </c>
      <c r="D1663" s="217" t="s">
        <v>1893</v>
      </c>
      <c r="E1663" s="85">
        <v>350450</v>
      </c>
      <c r="F1663" s="217" t="s">
        <v>1894</v>
      </c>
      <c r="G1663" s="218">
        <v>10.95</v>
      </c>
      <c r="J1663" s="300" t="s">
        <v>246</v>
      </c>
    </row>
    <row r="1664" spans="1:11" s="203" customFormat="1" x14ac:dyDescent="0.2">
      <c r="A1664" s="236" t="s">
        <v>1954</v>
      </c>
      <c r="B1664" s="216" t="s">
        <v>0</v>
      </c>
      <c r="C1664" s="203" t="s">
        <v>209</v>
      </c>
      <c r="D1664" s="217" t="s">
        <v>1895</v>
      </c>
      <c r="E1664" s="85">
        <v>351034</v>
      </c>
      <c r="F1664" s="217" t="s">
        <v>1896</v>
      </c>
      <c r="G1664" s="218">
        <v>10.95</v>
      </c>
      <c r="J1664" s="300" t="s">
        <v>246</v>
      </c>
    </row>
    <row r="1665" spans="1:10" s="203" customFormat="1" x14ac:dyDescent="0.2">
      <c r="A1665" s="236" t="s">
        <v>1954</v>
      </c>
      <c r="B1665" s="216" t="s">
        <v>0</v>
      </c>
      <c r="C1665" s="203" t="s">
        <v>209</v>
      </c>
      <c r="D1665" s="217" t="s">
        <v>1897</v>
      </c>
      <c r="E1665" s="85">
        <v>352658</v>
      </c>
      <c r="F1665" s="217" t="s">
        <v>1898</v>
      </c>
      <c r="G1665" s="218">
        <v>38.950000000000003</v>
      </c>
      <c r="J1665" s="300" t="s">
        <v>246</v>
      </c>
    </row>
    <row r="1666" spans="1:10" s="203" customFormat="1" x14ac:dyDescent="0.2">
      <c r="A1666" s="236" t="s">
        <v>1954</v>
      </c>
      <c r="B1666" s="216" t="s">
        <v>0</v>
      </c>
      <c r="C1666" s="203" t="s">
        <v>209</v>
      </c>
      <c r="D1666" s="217" t="s">
        <v>62</v>
      </c>
      <c r="E1666" s="85">
        <v>219793</v>
      </c>
      <c r="F1666" s="217" t="s">
        <v>1899</v>
      </c>
      <c r="G1666" s="218">
        <v>10.95</v>
      </c>
      <c r="J1666" s="300" t="s">
        <v>246</v>
      </c>
    </row>
    <row r="1667" spans="1:10" s="203" customFormat="1" x14ac:dyDescent="0.2">
      <c r="A1667" s="236" t="s">
        <v>1954</v>
      </c>
      <c r="B1667" s="216" t="s">
        <v>0</v>
      </c>
      <c r="C1667" s="203" t="s">
        <v>209</v>
      </c>
      <c r="D1667" s="217" t="s">
        <v>1900</v>
      </c>
      <c r="E1667" s="85">
        <v>352415</v>
      </c>
      <c r="F1667" s="217" t="s">
        <v>1901</v>
      </c>
      <c r="G1667" s="218">
        <v>31.95</v>
      </c>
      <c r="J1667" s="300" t="s">
        <v>246</v>
      </c>
    </row>
    <row r="1668" spans="1:10" s="203" customFormat="1" x14ac:dyDescent="0.2">
      <c r="A1668" s="236" t="s">
        <v>1954</v>
      </c>
      <c r="B1668" s="216" t="s">
        <v>0</v>
      </c>
      <c r="C1668" s="203" t="s">
        <v>209</v>
      </c>
      <c r="D1668" s="217" t="s">
        <v>1902</v>
      </c>
      <c r="E1668" s="85">
        <v>351128</v>
      </c>
      <c r="F1668" s="217" t="s">
        <v>1903</v>
      </c>
      <c r="G1668" s="218">
        <v>9.73</v>
      </c>
      <c r="J1668" s="300" t="s">
        <v>246</v>
      </c>
    </row>
    <row r="1669" spans="1:10" s="203" customFormat="1" x14ac:dyDescent="0.2">
      <c r="A1669" s="236" t="s">
        <v>1954</v>
      </c>
      <c r="B1669" s="216" t="s">
        <v>127</v>
      </c>
      <c r="C1669" s="203" t="s">
        <v>151</v>
      </c>
      <c r="D1669" s="217" t="s">
        <v>193</v>
      </c>
      <c r="E1669" s="85">
        <v>226743</v>
      </c>
      <c r="F1669" s="217"/>
      <c r="G1669" s="218">
        <v>59.46</v>
      </c>
      <c r="J1669" s="300" t="s">
        <v>246</v>
      </c>
    </row>
    <row r="1670" spans="1:10" s="203" customFormat="1" x14ac:dyDescent="0.2">
      <c r="A1670" s="236" t="s">
        <v>1954</v>
      </c>
      <c r="B1670" s="216" t="s">
        <v>127</v>
      </c>
      <c r="C1670" s="203" t="s">
        <v>151</v>
      </c>
      <c r="D1670" s="217" t="s">
        <v>193</v>
      </c>
      <c r="E1670" s="85">
        <v>226743</v>
      </c>
      <c r="F1670" s="217"/>
      <c r="G1670" s="218">
        <v>42.95</v>
      </c>
      <c r="J1670" s="300" t="s">
        <v>246</v>
      </c>
    </row>
    <row r="1671" spans="1:10" x14ac:dyDescent="0.2">
      <c r="A1671" s="185" t="s">
        <v>1954</v>
      </c>
      <c r="B1671" s="20" t="s">
        <v>127</v>
      </c>
      <c r="C1671" s="19"/>
      <c r="D1671" s="121" t="s">
        <v>1568</v>
      </c>
      <c r="E1671" s="83">
        <v>201228</v>
      </c>
      <c r="F1671" s="121"/>
      <c r="G1671" s="122">
        <v>65.95</v>
      </c>
      <c r="J1671" s="197" t="s">
        <v>1714</v>
      </c>
    </row>
    <row r="1672" spans="1:10" x14ac:dyDescent="0.2">
      <c r="A1672" s="185" t="s">
        <v>1954</v>
      </c>
      <c r="B1672" s="20" t="s">
        <v>127</v>
      </c>
      <c r="C1672" s="19"/>
      <c r="D1672" s="121" t="s">
        <v>1568</v>
      </c>
      <c r="E1672" s="83">
        <v>201228</v>
      </c>
      <c r="F1672" s="121"/>
      <c r="G1672" s="122">
        <v>60.15</v>
      </c>
      <c r="J1672" s="197" t="s">
        <v>1714</v>
      </c>
    </row>
    <row r="1673" spans="1:10" x14ac:dyDescent="0.2">
      <c r="A1673" s="185" t="s">
        <v>1954</v>
      </c>
      <c r="B1673" s="20" t="s">
        <v>127</v>
      </c>
      <c r="C1673" s="19"/>
      <c r="D1673" s="121" t="s">
        <v>1568</v>
      </c>
      <c r="E1673" s="83">
        <v>201228</v>
      </c>
      <c r="F1673" s="121"/>
      <c r="G1673" s="122">
        <v>288.11</v>
      </c>
      <c r="J1673" s="197" t="s">
        <v>1714</v>
      </c>
    </row>
    <row r="1674" spans="1:10" x14ac:dyDescent="0.2">
      <c r="A1674" s="185" t="s">
        <v>1954</v>
      </c>
      <c r="B1674" s="20" t="s">
        <v>127</v>
      </c>
      <c r="C1674" s="19"/>
      <c r="D1674" s="121" t="s">
        <v>1568</v>
      </c>
      <c r="E1674" s="83">
        <v>201228</v>
      </c>
      <c r="F1674" s="121"/>
      <c r="G1674" s="122">
        <v>463.95</v>
      </c>
      <c r="J1674" s="197" t="s">
        <v>1714</v>
      </c>
    </row>
    <row r="1675" spans="1:10" x14ac:dyDescent="0.2">
      <c r="A1675" s="185" t="s">
        <v>1954</v>
      </c>
      <c r="B1675" s="20" t="s">
        <v>127</v>
      </c>
      <c r="C1675" s="19"/>
      <c r="D1675" s="121" t="s">
        <v>1568</v>
      </c>
      <c r="E1675" s="83">
        <v>201228</v>
      </c>
      <c r="F1675" s="121"/>
      <c r="G1675" s="122">
        <v>48.04</v>
      </c>
      <c r="J1675" s="197" t="s">
        <v>1714</v>
      </c>
    </row>
    <row r="1676" spans="1:10" x14ac:dyDescent="0.2">
      <c r="A1676" s="185" t="s">
        <v>1954</v>
      </c>
      <c r="B1676" s="20" t="s">
        <v>127</v>
      </c>
      <c r="C1676" s="19"/>
      <c r="D1676" s="121" t="s">
        <v>1568</v>
      </c>
      <c r="E1676" s="83">
        <v>201228</v>
      </c>
      <c r="F1676" s="121"/>
      <c r="G1676" s="122">
        <v>11.15</v>
      </c>
      <c r="J1676" s="197" t="s">
        <v>1714</v>
      </c>
    </row>
    <row r="1677" spans="1:10" x14ac:dyDescent="0.2">
      <c r="A1677" s="185" t="s">
        <v>1954</v>
      </c>
      <c r="B1677" s="20" t="s">
        <v>127</v>
      </c>
      <c r="C1677" s="19"/>
      <c r="D1677" s="121" t="s">
        <v>1568</v>
      </c>
      <c r="E1677" s="83">
        <v>201228</v>
      </c>
      <c r="F1677" s="121"/>
      <c r="G1677" s="122">
        <v>119.4</v>
      </c>
      <c r="J1677" s="197" t="s">
        <v>1714</v>
      </c>
    </row>
    <row r="1678" spans="1:10" x14ac:dyDescent="0.2">
      <c r="A1678" s="185" t="s">
        <v>1954</v>
      </c>
      <c r="B1678" s="20" t="s">
        <v>127</v>
      </c>
      <c r="C1678" s="19"/>
      <c r="D1678" s="121" t="s">
        <v>1568</v>
      </c>
      <c r="E1678" s="83">
        <v>201228</v>
      </c>
      <c r="F1678" s="121"/>
      <c r="G1678" s="122">
        <v>119.9</v>
      </c>
      <c r="J1678" s="197" t="s">
        <v>1714</v>
      </c>
    </row>
    <row r="1679" spans="1:10" x14ac:dyDescent="0.2">
      <c r="A1679" s="185" t="s">
        <v>1954</v>
      </c>
      <c r="B1679" s="20" t="s">
        <v>127</v>
      </c>
      <c r="C1679" s="19"/>
      <c r="D1679" s="121" t="s">
        <v>1568</v>
      </c>
      <c r="E1679" s="83">
        <v>201228</v>
      </c>
      <c r="F1679" s="121"/>
      <c r="G1679" s="122">
        <v>66.56</v>
      </c>
      <c r="J1679" s="197" t="s">
        <v>1714</v>
      </c>
    </row>
    <row r="1680" spans="1:10" x14ac:dyDescent="0.2">
      <c r="A1680" s="185" t="s">
        <v>1954</v>
      </c>
      <c r="B1680" s="20" t="s">
        <v>127</v>
      </c>
      <c r="C1680" s="19"/>
      <c r="D1680" s="121" t="s">
        <v>183</v>
      </c>
      <c r="E1680" s="83">
        <v>2386105</v>
      </c>
      <c r="F1680" s="121"/>
      <c r="G1680" s="122">
        <v>36.08</v>
      </c>
      <c r="J1680" s="197" t="s">
        <v>1714</v>
      </c>
    </row>
    <row r="1681" spans="1:11" s="203" customFormat="1" x14ac:dyDescent="0.2">
      <c r="A1681" s="236" t="s">
        <v>1954</v>
      </c>
      <c r="B1681" s="216" t="s">
        <v>127</v>
      </c>
      <c r="C1681" s="203" t="s">
        <v>151</v>
      </c>
      <c r="D1681" s="217" t="s">
        <v>1904</v>
      </c>
      <c r="E1681" s="85">
        <v>212863</v>
      </c>
      <c r="F1681" s="217"/>
      <c r="G1681" s="218">
        <v>66.209999999999994</v>
      </c>
      <c r="J1681" s="306" t="s">
        <v>246</v>
      </c>
      <c r="K1681" s="203" t="s">
        <v>1905</v>
      </c>
    </row>
    <row r="1682" spans="1:11" s="203" customFormat="1" x14ac:dyDescent="0.2">
      <c r="A1682" s="236" t="s">
        <v>1954</v>
      </c>
      <c r="B1682" s="216" t="s">
        <v>127</v>
      </c>
      <c r="C1682" s="203" t="s">
        <v>151</v>
      </c>
      <c r="D1682" s="217" t="s">
        <v>1904</v>
      </c>
      <c r="E1682" s="85">
        <v>212863</v>
      </c>
      <c r="F1682" s="217"/>
      <c r="G1682" s="218">
        <v>34.96</v>
      </c>
      <c r="J1682" s="306" t="s">
        <v>246</v>
      </c>
      <c r="K1682" s="203" t="s">
        <v>1905</v>
      </c>
    </row>
    <row r="1683" spans="1:11" s="203" customFormat="1" x14ac:dyDescent="0.2">
      <c r="A1683" s="236" t="s">
        <v>1954</v>
      </c>
      <c r="B1683" s="216" t="s">
        <v>127</v>
      </c>
      <c r="C1683" s="203" t="s">
        <v>151</v>
      </c>
      <c r="D1683" s="217" t="s">
        <v>1904</v>
      </c>
      <c r="E1683" s="85">
        <v>212863</v>
      </c>
      <c r="F1683" s="217"/>
      <c r="G1683" s="218">
        <v>77.2</v>
      </c>
      <c r="J1683" s="306" t="s">
        <v>246</v>
      </c>
      <c r="K1683" s="203" t="s">
        <v>1905</v>
      </c>
    </row>
    <row r="1684" spans="1:11" s="203" customFormat="1" x14ac:dyDescent="0.2">
      <c r="A1684" s="236" t="s">
        <v>1954</v>
      </c>
      <c r="B1684" s="216" t="s">
        <v>127</v>
      </c>
      <c r="C1684" s="203" t="s">
        <v>151</v>
      </c>
      <c r="D1684" s="217" t="s">
        <v>1904</v>
      </c>
      <c r="E1684" s="85">
        <v>212863</v>
      </c>
      <c r="F1684" s="217"/>
      <c r="G1684" s="218">
        <v>115.95</v>
      </c>
      <c r="J1684" s="306" t="s">
        <v>246</v>
      </c>
      <c r="K1684" s="203" t="s">
        <v>1905</v>
      </c>
    </row>
    <row r="1685" spans="1:11" s="203" customFormat="1" x14ac:dyDescent="0.2">
      <c r="A1685" s="236" t="s">
        <v>1954</v>
      </c>
      <c r="B1685" s="216" t="s">
        <v>127</v>
      </c>
      <c r="C1685" s="203" t="s">
        <v>151</v>
      </c>
      <c r="D1685" s="217" t="s">
        <v>1904</v>
      </c>
      <c r="E1685" s="85">
        <v>212863</v>
      </c>
      <c r="F1685" s="217"/>
      <c r="G1685" s="218">
        <v>130.51</v>
      </c>
      <c r="J1685" s="306" t="s">
        <v>246</v>
      </c>
      <c r="K1685" s="203" t="s">
        <v>1905</v>
      </c>
    </row>
    <row r="1686" spans="1:11" s="203" customFormat="1" x14ac:dyDescent="0.2">
      <c r="A1686" s="236" t="s">
        <v>1954</v>
      </c>
      <c r="B1686" s="216" t="s">
        <v>127</v>
      </c>
      <c r="C1686" s="203" t="s">
        <v>151</v>
      </c>
      <c r="D1686" s="217" t="s">
        <v>1904</v>
      </c>
      <c r="E1686" s="85">
        <v>212863</v>
      </c>
      <c r="F1686" s="217"/>
      <c r="G1686" s="218">
        <v>160.85</v>
      </c>
      <c r="J1686" s="306" t="s">
        <v>246</v>
      </c>
      <c r="K1686" s="203" t="s">
        <v>1905</v>
      </c>
    </row>
    <row r="1687" spans="1:11" x14ac:dyDescent="0.2">
      <c r="A1687" s="103" t="s">
        <v>1955</v>
      </c>
      <c r="B1687" s="20" t="s">
        <v>1906</v>
      </c>
      <c r="C1687" s="19"/>
      <c r="D1687" s="121" t="s">
        <v>102</v>
      </c>
      <c r="E1687" s="83">
        <v>213054</v>
      </c>
      <c r="F1687" s="121" t="s">
        <v>1879</v>
      </c>
      <c r="G1687" s="122">
        <v>84.18</v>
      </c>
      <c r="J1687" s="197" t="s">
        <v>1907</v>
      </c>
    </row>
    <row r="1688" spans="1:11" x14ac:dyDescent="0.2">
      <c r="A1688" s="103" t="s">
        <v>1955</v>
      </c>
      <c r="B1688" s="20" t="s">
        <v>1906</v>
      </c>
      <c r="C1688" s="19"/>
      <c r="D1688" s="121" t="s">
        <v>1882</v>
      </c>
      <c r="E1688" s="83">
        <v>350253</v>
      </c>
      <c r="F1688" s="121" t="s">
        <v>1883</v>
      </c>
      <c r="G1688" s="122">
        <v>354.3</v>
      </c>
      <c r="J1688" s="197" t="s">
        <v>1907</v>
      </c>
    </row>
    <row r="1689" spans="1:11" x14ac:dyDescent="0.2">
      <c r="A1689" s="103" t="s">
        <v>1954</v>
      </c>
      <c r="B1689" s="20" t="s">
        <v>127</v>
      </c>
      <c r="C1689" s="19"/>
      <c r="D1689" s="121" t="s">
        <v>181</v>
      </c>
      <c r="E1689" s="83">
        <v>351215</v>
      </c>
      <c r="F1689" s="121"/>
      <c r="G1689" s="122">
        <v>113.34</v>
      </c>
      <c r="J1689" s="197" t="s">
        <v>1634</v>
      </c>
    </row>
    <row r="1690" spans="1:11" x14ac:dyDescent="0.2">
      <c r="A1690" s="103" t="s">
        <v>1954</v>
      </c>
      <c r="B1690" s="20" t="s">
        <v>127</v>
      </c>
      <c r="C1690" s="19"/>
      <c r="D1690" s="121" t="s">
        <v>181</v>
      </c>
      <c r="E1690" s="83">
        <v>351215</v>
      </c>
      <c r="F1690" s="121"/>
      <c r="G1690" s="122">
        <v>122</v>
      </c>
      <c r="J1690" s="197" t="s">
        <v>1634</v>
      </c>
    </row>
    <row r="1691" spans="1:11" x14ac:dyDescent="0.2">
      <c r="A1691" s="103" t="s">
        <v>1954</v>
      </c>
      <c r="B1691" s="20" t="s">
        <v>127</v>
      </c>
      <c r="C1691" s="19"/>
      <c r="D1691" s="121" t="s">
        <v>181</v>
      </c>
      <c r="E1691" s="83">
        <v>351215</v>
      </c>
      <c r="F1691" s="121"/>
      <c r="G1691" s="122">
        <v>99</v>
      </c>
      <c r="J1691" s="197" t="s">
        <v>1634</v>
      </c>
    </row>
    <row r="1692" spans="1:11" x14ac:dyDescent="0.2">
      <c r="A1692" s="103" t="s">
        <v>1954</v>
      </c>
      <c r="B1692" s="20" t="s">
        <v>127</v>
      </c>
      <c r="C1692" s="19"/>
      <c r="D1692" s="121" t="s">
        <v>181</v>
      </c>
      <c r="E1692" s="83">
        <v>351215</v>
      </c>
      <c r="F1692" s="121"/>
      <c r="G1692" s="122">
        <v>115</v>
      </c>
      <c r="J1692" s="197" t="s">
        <v>1634</v>
      </c>
    </row>
    <row r="1693" spans="1:11" x14ac:dyDescent="0.2">
      <c r="A1693" s="103" t="s">
        <v>1954</v>
      </c>
      <c r="B1693" s="20" t="s">
        <v>127</v>
      </c>
      <c r="C1693" s="19"/>
      <c r="D1693" s="121" t="s">
        <v>181</v>
      </c>
      <c r="E1693" s="83">
        <v>351215</v>
      </c>
      <c r="F1693" s="121"/>
      <c r="G1693" s="122">
        <v>63.55</v>
      </c>
      <c r="J1693" s="197" t="s">
        <v>1634</v>
      </c>
    </row>
    <row r="1694" spans="1:11" x14ac:dyDescent="0.2">
      <c r="A1694" s="103" t="s">
        <v>1954</v>
      </c>
      <c r="B1694" s="20" t="s">
        <v>127</v>
      </c>
      <c r="C1694" s="19"/>
      <c r="D1694" s="121" t="s">
        <v>181</v>
      </c>
      <c r="E1694" s="83">
        <v>351215</v>
      </c>
      <c r="F1694" s="121"/>
      <c r="G1694" s="122">
        <v>70.69</v>
      </c>
      <c r="J1694" s="197" t="s">
        <v>1634</v>
      </c>
    </row>
    <row r="1695" spans="1:11" x14ac:dyDescent="0.2">
      <c r="A1695" s="103" t="s">
        <v>1954</v>
      </c>
      <c r="B1695" s="20" t="s">
        <v>127</v>
      </c>
      <c r="C1695" s="19"/>
      <c r="D1695" s="121" t="s">
        <v>181</v>
      </c>
      <c r="E1695" s="83">
        <v>351215</v>
      </c>
      <c r="F1695" s="121"/>
      <c r="G1695" s="122">
        <v>170.53</v>
      </c>
      <c r="J1695" s="197" t="s">
        <v>1634</v>
      </c>
    </row>
    <row r="1696" spans="1:11" x14ac:dyDescent="0.2">
      <c r="A1696" s="103" t="s">
        <v>1954</v>
      </c>
      <c r="B1696" s="20" t="s">
        <v>127</v>
      </c>
      <c r="C1696" s="19"/>
      <c r="D1696" s="121" t="s">
        <v>181</v>
      </c>
      <c r="E1696" s="83">
        <v>351215</v>
      </c>
      <c r="F1696" s="121"/>
      <c r="G1696" s="122">
        <v>79.2</v>
      </c>
      <c r="J1696" s="197" t="s">
        <v>1634</v>
      </c>
    </row>
    <row r="1697" spans="1:10" x14ac:dyDescent="0.2">
      <c r="A1697" s="103" t="s">
        <v>1954</v>
      </c>
      <c r="B1697" s="20" t="s">
        <v>127</v>
      </c>
      <c r="C1697" s="19"/>
      <c r="D1697" s="121" t="s">
        <v>181</v>
      </c>
      <c r="E1697" s="83">
        <v>351215</v>
      </c>
      <c r="F1697" s="121"/>
      <c r="G1697" s="122">
        <v>62.96</v>
      </c>
      <c r="J1697" s="197" t="s">
        <v>1634</v>
      </c>
    </row>
    <row r="1698" spans="1:10" x14ac:dyDescent="0.2">
      <c r="A1698" s="103" t="s">
        <v>1954</v>
      </c>
      <c r="B1698" s="20" t="s">
        <v>127</v>
      </c>
      <c r="C1698" s="19"/>
      <c r="D1698" s="121" t="s">
        <v>181</v>
      </c>
      <c r="E1698" s="83">
        <v>351215</v>
      </c>
      <c r="F1698" s="121"/>
      <c r="G1698" s="122">
        <v>88</v>
      </c>
      <c r="J1698" s="197" t="s">
        <v>1634</v>
      </c>
    </row>
    <row r="1699" spans="1:10" x14ac:dyDescent="0.2">
      <c r="A1699" s="103" t="s">
        <v>1954</v>
      </c>
      <c r="B1699" s="20" t="s">
        <v>127</v>
      </c>
      <c r="C1699" s="19"/>
      <c r="D1699" s="121" t="s">
        <v>181</v>
      </c>
      <c r="E1699" s="83">
        <v>351215</v>
      </c>
      <c r="F1699" s="121"/>
      <c r="G1699" s="122">
        <v>127</v>
      </c>
      <c r="J1699" s="197" t="s">
        <v>1634</v>
      </c>
    </row>
    <row r="1700" spans="1:10" x14ac:dyDescent="0.2">
      <c r="A1700" s="103" t="s">
        <v>1954</v>
      </c>
      <c r="B1700" s="20" t="s">
        <v>127</v>
      </c>
      <c r="C1700" s="19"/>
      <c r="D1700" s="121" t="s">
        <v>181</v>
      </c>
      <c r="E1700" s="83">
        <v>351215</v>
      </c>
      <c r="F1700" s="121"/>
      <c r="G1700" s="122">
        <v>66</v>
      </c>
      <c r="J1700" s="197" t="s">
        <v>1634</v>
      </c>
    </row>
    <row r="1701" spans="1:10" x14ac:dyDescent="0.2">
      <c r="A1701" s="103" t="s">
        <v>1954</v>
      </c>
      <c r="B1701" s="20" t="s">
        <v>127</v>
      </c>
      <c r="C1701" s="19"/>
      <c r="D1701" s="121" t="s">
        <v>181</v>
      </c>
      <c r="E1701" s="83">
        <v>351215</v>
      </c>
      <c r="F1701" s="121"/>
      <c r="G1701" s="122">
        <v>98</v>
      </c>
      <c r="J1701" s="197" t="s">
        <v>1634</v>
      </c>
    </row>
    <row r="1702" spans="1:10" x14ac:dyDescent="0.2">
      <c r="A1702" s="103" t="s">
        <v>1954</v>
      </c>
      <c r="B1702" s="20" t="s">
        <v>0</v>
      </c>
      <c r="C1702" s="19"/>
      <c r="D1702" s="60">
        <v>376273191993</v>
      </c>
      <c r="E1702" s="83">
        <v>352299</v>
      </c>
      <c r="F1702" s="121"/>
      <c r="G1702" s="122">
        <v>89.8</v>
      </c>
      <c r="J1702" s="197" t="s">
        <v>1478</v>
      </c>
    </row>
    <row r="1703" spans="1:10" x14ac:dyDescent="0.2">
      <c r="A1703" s="214">
        <v>42646</v>
      </c>
      <c r="B1703" s="20" t="s">
        <v>127</v>
      </c>
      <c r="C1703" s="19"/>
      <c r="D1703" s="60">
        <v>376270713997</v>
      </c>
      <c r="E1703" s="83">
        <v>351215</v>
      </c>
      <c r="F1703" s="121"/>
      <c r="G1703" s="122">
        <v>55.8</v>
      </c>
      <c r="H1703" s="117" t="s">
        <v>128</v>
      </c>
      <c r="J1703" s="197" t="s">
        <v>129</v>
      </c>
    </row>
    <row r="1704" spans="1:10" x14ac:dyDescent="0.2">
      <c r="A1704" s="214">
        <v>42646</v>
      </c>
      <c r="B1704" s="20" t="s">
        <v>127</v>
      </c>
      <c r="C1704" s="19"/>
      <c r="D1704" s="60">
        <v>376270713997</v>
      </c>
      <c r="E1704" s="83">
        <v>351215</v>
      </c>
      <c r="F1704" s="121"/>
      <c r="G1704" s="122">
        <v>90.85</v>
      </c>
      <c r="H1704" s="117" t="s">
        <v>130</v>
      </c>
      <c r="J1704" s="197" t="s">
        <v>129</v>
      </c>
    </row>
    <row r="1705" spans="1:10" x14ac:dyDescent="0.2">
      <c r="A1705" s="214">
        <v>42646</v>
      </c>
      <c r="B1705" s="20" t="s">
        <v>127</v>
      </c>
      <c r="C1705" s="19"/>
      <c r="D1705" s="60">
        <v>376270713997</v>
      </c>
      <c r="E1705" s="83">
        <v>351215</v>
      </c>
      <c r="F1705" s="121"/>
      <c r="G1705" s="122">
        <v>88</v>
      </c>
      <c r="H1705" s="117" t="s">
        <v>131</v>
      </c>
      <c r="J1705" s="197" t="s">
        <v>129</v>
      </c>
    </row>
    <row r="1706" spans="1:10" x14ac:dyDescent="0.2">
      <c r="A1706" s="214">
        <v>42646</v>
      </c>
      <c r="B1706" s="20" t="s">
        <v>127</v>
      </c>
      <c r="C1706" s="19"/>
      <c r="D1706" s="60">
        <v>376270713997</v>
      </c>
      <c r="E1706" s="83">
        <v>351215</v>
      </c>
      <c r="F1706" s="121"/>
      <c r="G1706" s="122">
        <v>57.24</v>
      </c>
      <c r="H1706" s="117" t="s">
        <v>132</v>
      </c>
      <c r="J1706" s="197" t="s">
        <v>129</v>
      </c>
    </row>
    <row r="1707" spans="1:10" x14ac:dyDescent="0.2">
      <c r="A1707" s="214">
        <v>42646</v>
      </c>
      <c r="B1707" s="20" t="s">
        <v>127</v>
      </c>
      <c r="C1707" s="19"/>
      <c r="D1707" s="60">
        <v>376270713997</v>
      </c>
      <c r="E1707" s="83">
        <v>351215</v>
      </c>
      <c r="F1707" s="121"/>
      <c r="G1707" s="122">
        <v>132</v>
      </c>
      <c r="H1707" s="117" t="s">
        <v>133</v>
      </c>
      <c r="J1707" s="197" t="s">
        <v>129</v>
      </c>
    </row>
    <row r="1708" spans="1:10" x14ac:dyDescent="0.2">
      <c r="A1708" s="214">
        <v>42647</v>
      </c>
      <c r="B1708" s="20" t="s">
        <v>127</v>
      </c>
      <c r="C1708" s="19"/>
      <c r="D1708" s="60">
        <v>376270713997</v>
      </c>
      <c r="E1708" s="83">
        <v>351215</v>
      </c>
      <c r="F1708" s="121"/>
      <c r="G1708" s="122">
        <v>56.71</v>
      </c>
      <c r="H1708" s="117" t="s">
        <v>134</v>
      </c>
      <c r="J1708" s="197" t="s">
        <v>129</v>
      </c>
    </row>
    <row r="1709" spans="1:10" x14ac:dyDescent="0.2">
      <c r="A1709" s="214">
        <v>42648</v>
      </c>
      <c r="B1709" s="20" t="s">
        <v>127</v>
      </c>
      <c r="C1709" s="19"/>
      <c r="D1709" s="60">
        <v>376270713997</v>
      </c>
      <c r="E1709" s="83">
        <v>351215</v>
      </c>
      <c r="F1709" s="121"/>
      <c r="G1709" s="122">
        <v>158.03</v>
      </c>
      <c r="H1709" s="117" t="s">
        <v>135</v>
      </c>
      <c r="J1709" s="197" t="s">
        <v>129</v>
      </c>
    </row>
    <row r="1710" spans="1:10" x14ac:dyDescent="0.2">
      <c r="A1710" s="214">
        <v>42649</v>
      </c>
      <c r="B1710" s="20" t="s">
        <v>127</v>
      </c>
      <c r="C1710" s="19"/>
      <c r="D1710" s="60">
        <v>376270713997</v>
      </c>
      <c r="E1710" s="83">
        <v>351215</v>
      </c>
      <c r="F1710" s="121"/>
      <c r="G1710" s="122">
        <v>91.95</v>
      </c>
      <c r="H1710" s="117" t="s">
        <v>136</v>
      </c>
      <c r="J1710" s="197" t="s">
        <v>129</v>
      </c>
    </row>
    <row r="1711" spans="1:10" x14ac:dyDescent="0.2">
      <c r="A1711" s="214">
        <v>42649</v>
      </c>
      <c r="B1711" s="20" t="s">
        <v>127</v>
      </c>
      <c r="C1711" s="19"/>
      <c r="D1711" s="60">
        <v>376270713997</v>
      </c>
      <c r="E1711" s="83">
        <v>351215</v>
      </c>
      <c r="F1711" s="121"/>
      <c r="G1711" s="122">
        <v>95.48</v>
      </c>
      <c r="H1711" s="117" t="s">
        <v>137</v>
      </c>
      <c r="J1711" s="197" t="s">
        <v>129</v>
      </c>
    </row>
    <row r="1712" spans="1:10" x14ac:dyDescent="0.2">
      <c r="A1712" s="214">
        <v>42650</v>
      </c>
      <c r="B1712" s="20" t="s">
        <v>127</v>
      </c>
      <c r="C1712" s="19"/>
      <c r="D1712" s="60">
        <v>376270713997</v>
      </c>
      <c r="E1712" s="83">
        <v>351215</v>
      </c>
      <c r="F1712" s="121"/>
      <c r="G1712" s="122">
        <v>22.95</v>
      </c>
      <c r="H1712" s="117" t="s">
        <v>138</v>
      </c>
      <c r="J1712" s="197" t="s">
        <v>129</v>
      </c>
    </row>
    <row r="1713" spans="1:10" x14ac:dyDescent="0.2">
      <c r="A1713" s="214">
        <v>42652</v>
      </c>
      <c r="B1713" s="20" t="s">
        <v>127</v>
      </c>
      <c r="C1713" s="19"/>
      <c r="D1713" s="60">
        <v>376270713997</v>
      </c>
      <c r="E1713" s="83">
        <v>351215</v>
      </c>
      <c r="F1713" s="121"/>
      <c r="G1713" s="122">
        <v>36.33</v>
      </c>
      <c r="H1713" s="117" t="s">
        <v>139</v>
      </c>
      <c r="J1713" s="197" t="s">
        <v>129</v>
      </c>
    </row>
    <row r="1714" spans="1:10" x14ac:dyDescent="0.2">
      <c r="A1714" s="214">
        <v>42652</v>
      </c>
      <c r="B1714" s="20" t="s">
        <v>127</v>
      </c>
      <c r="C1714" s="19"/>
      <c r="D1714" s="60">
        <v>376270713997</v>
      </c>
      <c r="E1714" s="83">
        <v>351215</v>
      </c>
      <c r="F1714" s="121"/>
      <c r="G1714" s="122">
        <v>106</v>
      </c>
      <c r="H1714" s="117" t="s">
        <v>140</v>
      </c>
      <c r="J1714" s="197" t="s">
        <v>129</v>
      </c>
    </row>
    <row r="1715" spans="1:10" x14ac:dyDescent="0.2">
      <c r="A1715" s="214">
        <v>42645</v>
      </c>
      <c r="B1715" s="20" t="s">
        <v>127</v>
      </c>
      <c r="C1715" s="19"/>
      <c r="D1715" s="60">
        <v>376238825990</v>
      </c>
      <c r="E1715" s="83">
        <v>226391</v>
      </c>
      <c r="F1715" s="121"/>
      <c r="G1715" s="122">
        <f>19.31+60.64</f>
        <v>79.95</v>
      </c>
      <c r="H1715" s="117" t="s">
        <v>141</v>
      </c>
      <c r="J1715" s="197" t="s">
        <v>142</v>
      </c>
    </row>
    <row r="1716" spans="1:10" x14ac:dyDescent="0.2">
      <c r="A1716" s="214">
        <v>42646</v>
      </c>
      <c r="B1716" s="20" t="s">
        <v>127</v>
      </c>
      <c r="C1716" s="19"/>
      <c r="D1716" s="60">
        <v>376238825990</v>
      </c>
      <c r="E1716" s="83">
        <v>226391</v>
      </c>
      <c r="F1716" s="121"/>
      <c r="G1716" s="122">
        <f>5.35+15.6</f>
        <v>20.95</v>
      </c>
      <c r="H1716" s="117" t="s">
        <v>143</v>
      </c>
      <c r="J1716" s="197" t="s">
        <v>142</v>
      </c>
    </row>
    <row r="1717" spans="1:10" x14ac:dyDescent="0.2">
      <c r="A1717" s="214">
        <v>42647</v>
      </c>
      <c r="B1717" s="20" t="s">
        <v>127</v>
      </c>
      <c r="C1717" s="19"/>
      <c r="D1717" s="60">
        <v>376238825990</v>
      </c>
      <c r="E1717" s="83">
        <v>226391</v>
      </c>
      <c r="F1717" s="121"/>
      <c r="G1717" s="122">
        <f>43.99+236.28</f>
        <v>280.27</v>
      </c>
      <c r="H1717" s="117" t="s">
        <v>144</v>
      </c>
      <c r="J1717" s="197" t="s">
        <v>142</v>
      </c>
    </row>
    <row r="1718" spans="1:10" x14ac:dyDescent="0.2">
      <c r="A1718" s="214">
        <v>42647</v>
      </c>
      <c r="B1718" s="20" t="s">
        <v>127</v>
      </c>
      <c r="C1718" s="19"/>
      <c r="D1718" s="60">
        <v>376238825990</v>
      </c>
      <c r="E1718" s="83">
        <v>226391</v>
      </c>
      <c r="F1718" s="121"/>
      <c r="G1718" s="122">
        <f>3.03+23.92</f>
        <v>26.950000000000003</v>
      </c>
      <c r="H1718" s="117" t="s">
        <v>145</v>
      </c>
      <c r="J1718" s="197" t="s">
        <v>142</v>
      </c>
    </row>
    <row r="1719" spans="1:10" x14ac:dyDescent="0.2">
      <c r="A1719" s="214">
        <v>42647</v>
      </c>
      <c r="B1719" s="20" t="s">
        <v>127</v>
      </c>
      <c r="C1719" s="19"/>
      <c r="D1719" s="60">
        <v>376238825990</v>
      </c>
      <c r="E1719" s="83">
        <v>226391</v>
      </c>
      <c r="F1719" s="121"/>
      <c r="G1719" s="122">
        <f>5.06+30.6</f>
        <v>35.660000000000004</v>
      </c>
      <c r="H1719" s="117" t="s">
        <v>146</v>
      </c>
      <c r="J1719" s="197" t="s">
        <v>142</v>
      </c>
    </row>
    <row r="1720" spans="1:10" x14ac:dyDescent="0.2">
      <c r="A1720" s="214">
        <v>42648</v>
      </c>
      <c r="B1720" s="20" t="s">
        <v>127</v>
      </c>
      <c r="C1720" s="19"/>
      <c r="D1720" s="60">
        <v>376238825990</v>
      </c>
      <c r="E1720" s="83">
        <v>226391</v>
      </c>
      <c r="F1720" s="121"/>
      <c r="G1720" s="122">
        <f>8+40.5</f>
        <v>48.5</v>
      </c>
      <c r="H1720" s="117" t="s">
        <v>147</v>
      </c>
      <c r="J1720" s="197" t="s">
        <v>142</v>
      </c>
    </row>
    <row r="1721" spans="1:10" x14ac:dyDescent="0.2">
      <c r="A1721" s="214">
        <v>42649</v>
      </c>
      <c r="B1721" s="20" t="s">
        <v>127</v>
      </c>
      <c r="C1721" s="19"/>
      <c r="D1721" s="60">
        <v>376238825990</v>
      </c>
      <c r="E1721" s="83">
        <v>226391</v>
      </c>
      <c r="F1721" s="121"/>
      <c r="G1721" s="122">
        <f>5.65+32.26</f>
        <v>37.909999999999997</v>
      </c>
      <c r="H1721" s="117" t="s">
        <v>148</v>
      </c>
      <c r="J1721" s="197" t="s">
        <v>142</v>
      </c>
    </row>
    <row r="1722" spans="1:10" x14ac:dyDescent="0.2">
      <c r="A1722" s="214">
        <v>42646</v>
      </c>
      <c r="B1722" s="20" t="s">
        <v>127</v>
      </c>
      <c r="C1722" s="19"/>
      <c r="D1722" s="60">
        <v>376220322998</v>
      </c>
      <c r="E1722" s="83">
        <v>220501</v>
      </c>
      <c r="F1722" s="121"/>
      <c r="G1722" s="122">
        <f>6.29+40.41</f>
        <v>46.699999999999996</v>
      </c>
      <c r="H1722" s="117" t="s">
        <v>149</v>
      </c>
      <c r="J1722" s="197" t="s">
        <v>142</v>
      </c>
    </row>
    <row r="1723" spans="1:10" x14ac:dyDescent="0.2">
      <c r="A1723" s="214">
        <v>42646</v>
      </c>
      <c r="B1723" s="20" t="s">
        <v>127</v>
      </c>
      <c r="C1723" s="19"/>
      <c r="D1723" s="60">
        <v>376220322998</v>
      </c>
      <c r="E1723" s="83">
        <v>220501</v>
      </c>
      <c r="F1723" s="121"/>
      <c r="G1723" s="122">
        <f>12.3+47.09</f>
        <v>59.39</v>
      </c>
      <c r="H1723" s="117" t="s">
        <v>150</v>
      </c>
      <c r="J1723" s="197" t="s">
        <v>142</v>
      </c>
    </row>
    <row r="1724" spans="1:10" s="203" customFormat="1" x14ac:dyDescent="0.2">
      <c r="A1724" s="215">
        <v>42653</v>
      </c>
      <c r="B1724" s="216" t="s">
        <v>127</v>
      </c>
      <c r="C1724" s="203" t="s">
        <v>151</v>
      </c>
      <c r="D1724" s="59">
        <v>376244923995</v>
      </c>
      <c r="E1724" s="85">
        <v>226743</v>
      </c>
      <c r="F1724" s="217"/>
      <c r="G1724" s="218">
        <f>2.55+23.2</f>
        <v>25.75</v>
      </c>
      <c r="H1724" s="203" t="s">
        <v>152</v>
      </c>
      <c r="J1724" s="306" t="s">
        <v>246</v>
      </c>
    </row>
    <row r="1725" spans="1:10" x14ac:dyDescent="0.2">
      <c r="A1725" s="103" t="s">
        <v>264</v>
      </c>
      <c r="B1725" s="20" t="s">
        <v>121</v>
      </c>
      <c r="C1725" s="19"/>
      <c r="D1725" s="121" t="s">
        <v>122</v>
      </c>
      <c r="E1725" s="83">
        <v>935</v>
      </c>
      <c r="F1725" s="121" t="s">
        <v>123</v>
      </c>
      <c r="G1725" s="122">
        <v>112.95</v>
      </c>
      <c r="J1725" s="197" t="s">
        <v>124</v>
      </c>
    </row>
    <row r="1726" spans="1:10" x14ac:dyDescent="0.2">
      <c r="A1726" s="103" t="s">
        <v>264</v>
      </c>
      <c r="B1726" s="20" t="s">
        <v>121</v>
      </c>
      <c r="C1726" s="19"/>
      <c r="D1726" s="121" t="s">
        <v>122</v>
      </c>
      <c r="E1726" s="83">
        <v>935</v>
      </c>
      <c r="F1726" s="121" t="s">
        <v>125</v>
      </c>
      <c r="G1726" s="122">
        <v>64.56</v>
      </c>
      <c r="J1726" s="197" t="s">
        <v>124</v>
      </c>
    </row>
    <row r="1727" spans="1:10" x14ac:dyDescent="0.2">
      <c r="A1727" s="103" t="s">
        <v>264</v>
      </c>
      <c r="B1727" s="20" t="s">
        <v>121</v>
      </c>
      <c r="C1727" s="19"/>
      <c r="D1727" s="121" t="s">
        <v>122</v>
      </c>
      <c r="E1727" s="83">
        <v>935</v>
      </c>
      <c r="F1727" s="121" t="s">
        <v>126</v>
      </c>
      <c r="G1727" s="122">
        <v>63.13</v>
      </c>
      <c r="J1727" s="197" t="s">
        <v>124</v>
      </c>
    </row>
    <row r="1728" spans="1:10" s="203" customFormat="1" x14ac:dyDescent="0.2">
      <c r="A1728" s="221" t="s">
        <v>264</v>
      </c>
      <c r="B1728" s="216" t="s">
        <v>121</v>
      </c>
      <c r="C1728" s="203" t="s">
        <v>238</v>
      </c>
      <c r="D1728" s="217" t="s">
        <v>396</v>
      </c>
      <c r="E1728" s="85">
        <v>350503</v>
      </c>
      <c r="F1728" s="217" t="s">
        <v>1908</v>
      </c>
      <c r="G1728" s="218">
        <v>53.95</v>
      </c>
      <c r="J1728" s="306" t="s">
        <v>246</v>
      </c>
    </row>
    <row r="1729" spans="1:10" x14ac:dyDescent="0.2">
      <c r="A1729" s="214">
        <v>42646</v>
      </c>
      <c r="B1729" s="20" t="s">
        <v>127</v>
      </c>
      <c r="C1729" s="19"/>
      <c r="D1729" s="121">
        <v>376270713997</v>
      </c>
      <c r="E1729" s="83">
        <v>351215</v>
      </c>
      <c r="F1729" s="121"/>
      <c r="G1729" s="122">
        <v>55.8</v>
      </c>
      <c r="H1729" s="117" t="s">
        <v>128</v>
      </c>
      <c r="J1729" s="197" t="s">
        <v>129</v>
      </c>
    </row>
    <row r="1730" spans="1:10" x14ac:dyDescent="0.2">
      <c r="A1730" s="214">
        <v>42646</v>
      </c>
      <c r="B1730" s="20" t="s">
        <v>127</v>
      </c>
      <c r="C1730" s="19"/>
      <c r="D1730" s="121">
        <v>376270713997</v>
      </c>
      <c r="E1730" s="83">
        <v>351215</v>
      </c>
      <c r="F1730" s="121"/>
      <c r="G1730" s="122">
        <v>90.85</v>
      </c>
      <c r="H1730" s="117" t="s">
        <v>130</v>
      </c>
      <c r="J1730" s="197" t="s">
        <v>129</v>
      </c>
    </row>
    <row r="1731" spans="1:10" x14ac:dyDescent="0.2">
      <c r="A1731" s="213">
        <v>42646</v>
      </c>
      <c r="B1731" s="20" t="s">
        <v>127</v>
      </c>
      <c r="C1731" s="130"/>
      <c r="D1731" s="60">
        <v>376270713997</v>
      </c>
      <c r="E1731" s="73">
        <v>351215</v>
      </c>
      <c r="F1731" s="121"/>
      <c r="G1731" s="176">
        <v>88</v>
      </c>
      <c r="H1731" s="131" t="s">
        <v>131</v>
      </c>
      <c r="J1731" s="39" t="s">
        <v>129</v>
      </c>
    </row>
    <row r="1732" spans="1:10" x14ac:dyDescent="0.2">
      <c r="A1732" s="213">
        <v>42646</v>
      </c>
      <c r="B1732" s="20" t="s">
        <v>127</v>
      </c>
      <c r="C1732" s="130"/>
      <c r="D1732" s="60">
        <v>376270713997</v>
      </c>
      <c r="E1732" s="73">
        <v>351215</v>
      </c>
      <c r="F1732" s="121"/>
      <c r="G1732" s="176">
        <v>57.24</v>
      </c>
      <c r="H1732" s="131" t="s">
        <v>132</v>
      </c>
      <c r="J1732" s="39" t="s">
        <v>129</v>
      </c>
    </row>
    <row r="1733" spans="1:10" x14ac:dyDescent="0.2">
      <c r="A1733" s="213">
        <v>42646</v>
      </c>
      <c r="B1733" s="20" t="s">
        <v>127</v>
      </c>
      <c r="C1733" s="130"/>
      <c r="D1733" s="60">
        <v>376270713997</v>
      </c>
      <c r="E1733" s="73">
        <v>351215</v>
      </c>
      <c r="F1733" s="121"/>
      <c r="G1733" s="176">
        <v>132</v>
      </c>
      <c r="H1733" s="131" t="s">
        <v>133</v>
      </c>
      <c r="J1733" s="39" t="s">
        <v>129</v>
      </c>
    </row>
    <row r="1734" spans="1:10" x14ac:dyDescent="0.2">
      <c r="A1734" s="213">
        <v>42647</v>
      </c>
      <c r="B1734" s="20" t="s">
        <v>127</v>
      </c>
      <c r="C1734" s="130"/>
      <c r="D1734" s="60">
        <v>376270713997</v>
      </c>
      <c r="E1734" s="73">
        <v>351215</v>
      </c>
      <c r="F1734" s="121"/>
      <c r="G1734" s="176">
        <v>56.71</v>
      </c>
      <c r="H1734" s="131" t="s">
        <v>134</v>
      </c>
      <c r="J1734" s="39" t="s">
        <v>129</v>
      </c>
    </row>
    <row r="1735" spans="1:10" x14ac:dyDescent="0.2">
      <c r="A1735" s="213">
        <v>42648</v>
      </c>
      <c r="B1735" s="20" t="s">
        <v>127</v>
      </c>
      <c r="C1735" s="130"/>
      <c r="D1735" s="60">
        <v>376270713997</v>
      </c>
      <c r="E1735" s="73">
        <v>351215</v>
      </c>
      <c r="F1735" s="121"/>
      <c r="G1735" s="176">
        <v>158.03</v>
      </c>
      <c r="H1735" s="131" t="s">
        <v>135</v>
      </c>
      <c r="J1735" s="39" t="s">
        <v>129</v>
      </c>
    </row>
    <row r="1736" spans="1:10" x14ac:dyDescent="0.2">
      <c r="A1736" s="213">
        <v>42649</v>
      </c>
      <c r="B1736" s="20" t="s">
        <v>127</v>
      </c>
      <c r="C1736" s="130"/>
      <c r="D1736" s="60">
        <v>376270713997</v>
      </c>
      <c r="E1736" s="73">
        <v>351215</v>
      </c>
      <c r="F1736" s="121"/>
      <c r="G1736" s="176">
        <v>91.95</v>
      </c>
      <c r="H1736" s="131" t="s">
        <v>136</v>
      </c>
      <c r="J1736" s="39" t="s">
        <v>129</v>
      </c>
    </row>
    <row r="1737" spans="1:10" x14ac:dyDescent="0.2">
      <c r="A1737" s="213">
        <v>42649</v>
      </c>
      <c r="B1737" s="20" t="s">
        <v>127</v>
      </c>
      <c r="C1737" s="130"/>
      <c r="D1737" s="60">
        <v>376270713997</v>
      </c>
      <c r="E1737" s="73">
        <v>351215</v>
      </c>
      <c r="F1737" s="121"/>
      <c r="G1737" s="176">
        <v>95.48</v>
      </c>
      <c r="H1737" s="131" t="s">
        <v>137</v>
      </c>
      <c r="J1737" s="39" t="s">
        <v>129</v>
      </c>
    </row>
    <row r="1738" spans="1:10" x14ac:dyDescent="0.2">
      <c r="A1738" s="213">
        <v>42650</v>
      </c>
      <c r="B1738" s="20" t="s">
        <v>127</v>
      </c>
      <c r="C1738" s="130"/>
      <c r="D1738" s="60">
        <v>376270713997</v>
      </c>
      <c r="E1738" s="73">
        <v>351215</v>
      </c>
      <c r="F1738" s="121"/>
      <c r="G1738" s="176">
        <v>22.95</v>
      </c>
      <c r="H1738" s="131" t="s">
        <v>138</v>
      </c>
      <c r="J1738" s="39" t="s">
        <v>129</v>
      </c>
    </row>
    <row r="1739" spans="1:10" x14ac:dyDescent="0.2">
      <c r="A1739" s="213">
        <v>42652</v>
      </c>
      <c r="B1739" s="20" t="s">
        <v>127</v>
      </c>
      <c r="C1739" s="130"/>
      <c r="D1739" s="60">
        <v>376270713997</v>
      </c>
      <c r="E1739" s="73">
        <v>351215</v>
      </c>
      <c r="F1739" s="121"/>
      <c r="G1739" s="176">
        <v>36.33</v>
      </c>
      <c r="H1739" s="131" t="s">
        <v>139</v>
      </c>
      <c r="J1739" s="39" t="s">
        <v>129</v>
      </c>
    </row>
    <row r="1740" spans="1:10" x14ac:dyDescent="0.2">
      <c r="A1740" s="213">
        <v>42652</v>
      </c>
      <c r="B1740" s="20" t="s">
        <v>127</v>
      </c>
      <c r="C1740" s="130"/>
      <c r="D1740" s="60">
        <v>376270713997</v>
      </c>
      <c r="E1740" s="73">
        <v>351215</v>
      </c>
      <c r="F1740" s="121"/>
      <c r="G1740" s="176">
        <v>106</v>
      </c>
      <c r="H1740" s="131" t="s">
        <v>140</v>
      </c>
      <c r="J1740" s="39" t="s">
        <v>129</v>
      </c>
    </row>
    <row r="1741" spans="1:10" x14ac:dyDescent="0.2">
      <c r="A1741" s="213">
        <v>42645</v>
      </c>
      <c r="B1741" s="20" t="s">
        <v>127</v>
      </c>
      <c r="C1741" s="130"/>
      <c r="D1741" s="60">
        <v>376238825990</v>
      </c>
      <c r="E1741" s="73">
        <v>226391</v>
      </c>
      <c r="F1741" s="121"/>
      <c r="G1741" s="176">
        <f>19.31+60.64</f>
        <v>79.95</v>
      </c>
      <c r="H1741" s="131" t="s">
        <v>141</v>
      </c>
      <c r="J1741" s="198" t="s">
        <v>142</v>
      </c>
    </row>
    <row r="1742" spans="1:10" x14ac:dyDescent="0.2">
      <c r="A1742" s="213">
        <v>42646</v>
      </c>
      <c r="B1742" s="20" t="s">
        <v>127</v>
      </c>
      <c r="C1742" s="130"/>
      <c r="D1742" s="60">
        <v>376238825990</v>
      </c>
      <c r="E1742" s="73">
        <v>226391</v>
      </c>
      <c r="F1742" s="121"/>
      <c r="G1742" s="176">
        <f>5.35+15.6</f>
        <v>20.95</v>
      </c>
      <c r="H1742" s="131" t="s">
        <v>143</v>
      </c>
      <c r="J1742" s="198" t="s">
        <v>142</v>
      </c>
    </row>
    <row r="1743" spans="1:10" x14ac:dyDescent="0.2">
      <c r="A1743" s="213">
        <v>42647</v>
      </c>
      <c r="B1743" s="20" t="s">
        <v>127</v>
      </c>
      <c r="C1743" s="130"/>
      <c r="D1743" s="60">
        <v>376238825990</v>
      </c>
      <c r="E1743" s="73">
        <v>226391</v>
      </c>
      <c r="F1743" s="121"/>
      <c r="G1743" s="176">
        <f>43.99+236.28</f>
        <v>280.27</v>
      </c>
      <c r="H1743" s="131" t="s">
        <v>144</v>
      </c>
      <c r="J1743" s="198" t="s">
        <v>142</v>
      </c>
    </row>
    <row r="1744" spans="1:10" x14ac:dyDescent="0.2">
      <c r="A1744" s="213">
        <v>42647</v>
      </c>
      <c r="B1744" s="20" t="s">
        <v>127</v>
      </c>
      <c r="C1744" s="130"/>
      <c r="D1744" s="60">
        <v>376238825990</v>
      </c>
      <c r="E1744" s="73">
        <v>226391</v>
      </c>
      <c r="F1744" s="121"/>
      <c r="G1744" s="176">
        <f>3.03+23.92</f>
        <v>26.950000000000003</v>
      </c>
      <c r="H1744" s="131" t="s">
        <v>145</v>
      </c>
      <c r="J1744" s="198" t="s">
        <v>142</v>
      </c>
    </row>
    <row r="1745" spans="1:10" x14ac:dyDescent="0.2">
      <c r="A1745" s="213">
        <v>42647</v>
      </c>
      <c r="B1745" s="20" t="s">
        <v>127</v>
      </c>
      <c r="C1745" s="130"/>
      <c r="D1745" s="60">
        <v>376238825990</v>
      </c>
      <c r="E1745" s="73">
        <v>226391</v>
      </c>
      <c r="F1745" s="121"/>
      <c r="G1745" s="176">
        <f>5.06+30.6</f>
        <v>35.660000000000004</v>
      </c>
      <c r="H1745" s="131" t="s">
        <v>146</v>
      </c>
      <c r="J1745" s="198" t="s">
        <v>142</v>
      </c>
    </row>
    <row r="1746" spans="1:10" x14ac:dyDescent="0.2">
      <c r="A1746" s="213">
        <v>42648</v>
      </c>
      <c r="B1746" s="20" t="s">
        <v>127</v>
      </c>
      <c r="C1746" s="130"/>
      <c r="D1746" s="60">
        <v>376238825990</v>
      </c>
      <c r="E1746" s="73">
        <v>226391</v>
      </c>
      <c r="F1746" s="121"/>
      <c r="G1746" s="176">
        <f>8+40.5</f>
        <v>48.5</v>
      </c>
      <c r="H1746" s="131" t="s">
        <v>147</v>
      </c>
      <c r="J1746" s="198" t="s">
        <v>142</v>
      </c>
    </row>
    <row r="1747" spans="1:10" x14ac:dyDescent="0.2">
      <c r="A1747" s="213">
        <v>42649</v>
      </c>
      <c r="B1747" s="20" t="s">
        <v>127</v>
      </c>
      <c r="C1747" s="130"/>
      <c r="D1747" s="60">
        <v>376238825990</v>
      </c>
      <c r="E1747" s="73">
        <v>226391</v>
      </c>
      <c r="F1747" s="121"/>
      <c r="G1747" s="176">
        <f>5.65+32.26</f>
        <v>37.909999999999997</v>
      </c>
      <c r="H1747" s="131" t="s">
        <v>148</v>
      </c>
      <c r="J1747" s="198" t="s">
        <v>142</v>
      </c>
    </row>
    <row r="1748" spans="1:10" x14ac:dyDescent="0.2">
      <c r="A1748" s="213">
        <v>42646</v>
      </c>
      <c r="B1748" s="20" t="s">
        <v>127</v>
      </c>
      <c r="C1748" s="130"/>
      <c r="D1748" s="60">
        <v>376220322998</v>
      </c>
      <c r="E1748" s="73">
        <v>220501</v>
      </c>
      <c r="F1748" s="121"/>
      <c r="G1748" s="176">
        <f>6.29+40.41</f>
        <v>46.699999999999996</v>
      </c>
      <c r="H1748" s="134" t="s">
        <v>149</v>
      </c>
      <c r="J1748" s="198" t="s">
        <v>142</v>
      </c>
    </row>
    <row r="1749" spans="1:10" x14ac:dyDescent="0.2">
      <c r="A1749" s="213">
        <v>42646</v>
      </c>
      <c r="B1749" s="20" t="s">
        <v>127</v>
      </c>
      <c r="C1749" s="130"/>
      <c r="D1749" s="60">
        <v>376220322998</v>
      </c>
      <c r="E1749" s="73">
        <v>220501</v>
      </c>
      <c r="F1749" s="121"/>
      <c r="G1749" s="176">
        <f>12.3+47.09</f>
        <v>59.39</v>
      </c>
      <c r="H1749" s="134" t="s">
        <v>150</v>
      </c>
      <c r="J1749" s="198" t="s">
        <v>142</v>
      </c>
    </row>
    <row r="1750" spans="1:10" s="203" customFormat="1" x14ac:dyDescent="0.2">
      <c r="A1750" s="215">
        <v>42653</v>
      </c>
      <c r="B1750" s="216" t="s">
        <v>127</v>
      </c>
      <c r="C1750" s="203" t="s">
        <v>151</v>
      </c>
      <c r="D1750" s="59">
        <v>376244923995</v>
      </c>
      <c r="E1750" s="74">
        <v>226743</v>
      </c>
      <c r="F1750" s="217"/>
      <c r="G1750" s="271">
        <f>2.55+23.2</f>
        <v>25.75</v>
      </c>
      <c r="H1750" s="223" t="s">
        <v>152</v>
      </c>
      <c r="J1750" s="306" t="s">
        <v>246</v>
      </c>
    </row>
    <row r="1751" spans="1:10" x14ac:dyDescent="0.2">
      <c r="A1751" s="103" t="s">
        <v>264</v>
      </c>
      <c r="B1751" s="20" t="s">
        <v>121</v>
      </c>
      <c r="C1751" s="130"/>
      <c r="D1751" s="200" t="s">
        <v>122</v>
      </c>
      <c r="E1751" s="73">
        <v>935</v>
      </c>
      <c r="F1751" s="120" t="s">
        <v>123</v>
      </c>
      <c r="G1751" s="176">
        <v>240.64</v>
      </c>
      <c r="H1751" s="131"/>
      <c r="J1751" s="199" t="s">
        <v>124</v>
      </c>
    </row>
    <row r="1752" spans="1:10" x14ac:dyDescent="0.2">
      <c r="A1752" s="213">
        <v>42653</v>
      </c>
      <c r="B1752" s="20" t="s">
        <v>127</v>
      </c>
      <c r="C1752" s="130"/>
      <c r="D1752" s="60">
        <v>376270713997</v>
      </c>
      <c r="E1752" s="73">
        <v>351215</v>
      </c>
      <c r="F1752" s="121"/>
      <c r="G1752" s="176">
        <v>19.95</v>
      </c>
      <c r="H1752" s="131" t="s">
        <v>153</v>
      </c>
      <c r="J1752" s="201" t="s">
        <v>154</v>
      </c>
    </row>
    <row r="1753" spans="1:10" x14ac:dyDescent="0.2">
      <c r="A1753" s="213">
        <v>42653</v>
      </c>
      <c r="B1753" s="20" t="s">
        <v>127</v>
      </c>
      <c r="C1753" s="130"/>
      <c r="D1753" s="60">
        <v>376270713997</v>
      </c>
      <c r="E1753" s="73">
        <v>351215</v>
      </c>
      <c r="F1753" s="121"/>
      <c r="G1753" s="176">
        <v>53</v>
      </c>
      <c r="H1753" s="131" t="s">
        <v>155</v>
      </c>
      <c r="J1753" s="201" t="s">
        <v>154</v>
      </c>
    </row>
    <row r="1754" spans="1:10" x14ac:dyDescent="0.2">
      <c r="A1754" s="213">
        <v>42654</v>
      </c>
      <c r="B1754" s="20" t="s">
        <v>127</v>
      </c>
      <c r="C1754" s="130"/>
      <c r="D1754" s="60">
        <v>376270713997</v>
      </c>
      <c r="E1754" s="73">
        <v>351215</v>
      </c>
      <c r="F1754" s="121"/>
      <c r="G1754" s="176">
        <v>132.99</v>
      </c>
      <c r="H1754" s="131" t="s">
        <v>156</v>
      </c>
      <c r="J1754" s="201" t="s">
        <v>154</v>
      </c>
    </row>
    <row r="1755" spans="1:10" x14ac:dyDescent="0.2">
      <c r="A1755" s="213">
        <v>42654</v>
      </c>
      <c r="B1755" s="20" t="s">
        <v>127</v>
      </c>
      <c r="C1755" s="130"/>
      <c r="D1755" s="60">
        <v>376270713997</v>
      </c>
      <c r="E1755" s="73">
        <v>351215</v>
      </c>
      <c r="F1755" s="121"/>
      <c r="G1755" s="176">
        <v>53</v>
      </c>
      <c r="H1755" s="131" t="s">
        <v>157</v>
      </c>
      <c r="J1755" s="201" t="s">
        <v>154</v>
      </c>
    </row>
    <row r="1756" spans="1:10" x14ac:dyDescent="0.2">
      <c r="A1756" s="213">
        <v>42654</v>
      </c>
      <c r="B1756" s="20" t="s">
        <v>127</v>
      </c>
      <c r="C1756" s="130"/>
      <c r="D1756" s="60">
        <v>376270713997</v>
      </c>
      <c r="E1756" s="73">
        <v>351215</v>
      </c>
      <c r="F1756" s="121"/>
      <c r="G1756" s="176">
        <v>195.3</v>
      </c>
      <c r="H1756" s="131" t="s">
        <v>158</v>
      </c>
      <c r="J1756" s="201" t="s">
        <v>154</v>
      </c>
    </row>
    <row r="1757" spans="1:10" x14ac:dyDescent="0.2">
      <c r="A1757" s="213">
        <v>42655</v>
      </c>
      <c r="B1757" s="20" t="s">
        <v>127</v>
      </c>
      <c r="C1757" s="130"/>
      <c r="D1757" s="60">
        <v>376270713997</v>
      </c>
      <c r="E1757" s="73">
        <v>351215</v>
      </c>
      <c r="F1757" s="121"/>
      <c r="G1757" s="176">
        <v>112</v>
      </c>
      <c r="H1757" s="131" t="s">
        <v>159</v>
      </c>
      <c r="J1757" s="201" t="s">
        <v>154</v>
      </c>
    </row>
    <row r="1758" spans="1:10" x14ac:dyDescent="0.2">
      <c r="A1758" s="213">
        <v>42656</v>
      </c>
      <c r="B1758" s="20" t="s">
        <v>127</v>
      </c>
      <c r="C1758" s="130"/>
      <c r="D1758" s="60">
        <v>376270713997</v>
      </c>
      <c r="E1758" s="73">
        <v>351215</v>
      </c>
      <c r="F1758" s="121"/>
      <c r="G1758" s="176">
        <v>63</v>
      </c>
      <c r="H1758" s="131" t="s">
        <v>160</v>
      </c>
      <c r="J1758" s="201" t="s">
        <v>154</v>
      </c>
    </row>
    <row r="1759" spans="1:10" x14ac:dyDescent="0.2">
      <c r="A1759" s="213">
        <v>42656</v>
      </c>
      <c r="B1759" s="20" t="s">
        <v>127</v>
      </c>
      <c r="C1759" s="130"/>
      <c r="D1759" s="60">
        <v>376270713997</v>
      </c>
      <c r="E1759" s="73">
        <v>351215</v>
      </c>
      <c r="F1759" s="121"/>
      <c r="G1759" s="176">
        <v>51.04</v>
      </c>
      <c r="H1759" s="131" t="s">
        <v>161</v>
      </c>
      <c r="J1759" s="201" t="s">
        <v>154</v>
      </c>
    </row>
    <row r="1760" spans="1:10" x14ac:dyDescent="0.2">
      <c r="A1760" s="213">
        <v>42657</v>
      </c>
      <c r="B1760" s="20" t="s">
        <v>127</v>
      </c>
      <c r="C1760" s="130"/>
      <c r="D1760" s="60">
        <v>376270713997</v>
      </c>
      <c r="E1760" s="73">
        <v>351215</v>
      </c>
      <c r="F1760" s="121"/>
      <c r="G1760" s="176">
        <v>218.47</v>
      </c>
      <c r="H1760" s="131" t="s">
        <v>162</v>
      </c>
      <c r="J1760" s="201" t="s">
        <v>154</v>
      </c>
    </row>
    <row r="1761" spans="1:10" x14ac:dyDescent="0.2">
      <c r="A1761" s="213">
        <v>42657</v>
      </c>
      <c r="B1761" s="20" t="s">
        <v>127</v>
      </c>
      <c r="C1761" s="130"/>
      <c r="D1761" s="60">
        <v>376270713997</v>
      </c>
      <c r="E1761" s="73">
        <v>351215</v>
      </c>
      <c r="F1761" s="121"/>
      <c r="G1761" s="176">
        <v>148.29</v>
      </c>
      <c r="H1761" s="131" t="s">
        <v>163</v>
      </c>
      <c r="J1761" s="201" t="s">
        <v>154</v>
      </c>
    </row>
    <row r="1762" spans="1:10" x14ac:dyDescent="0.2">
      <c r="A1762" s="213">
        <v>42657</v>
      </c>
      <c r="B1762" s="20" t="s">
        <v>127</v>
      </c>
      <c r="C1762" s="130"/>
      <c r="D1762" s="60">
        <v>376270713997</v>
      </c>
      <c r="E1762" s="73">
        <v>351215</v>
      </c>
      <c r="F1762" s="121"/>
      <c r="G1762" s="176">
        <v>88</v>
      </c>
      <c r="H1762" s="131" t="s">
        <v>164</v>
      </c>
      <c r="J1762" s="201" t="s">
        <v>154</v>
      </c>
    </row>
    <row r="1763" spans="1:10" x14ac:dyDescent="0.2">
      <c r="A1763" s="213">
        <v>42655</v>
      </c>
      <c r="B1763" s="20" t="s">
        <v>127</v>
      </c>
      <c r="C1763" s="130"/>
      <c r="D1763" s="60">
        <v>376272133996</v>
      </c>
      <c r="E1763" s="73">
        <v>351621</v>
      </c>
      <c r="F1763" s="121"/>
      <c r="G1763" s="176">
        <f>10.9+53.05</f>
        <v>63.949999999999996</v>
      </c>
      <c r="H1763" s="131" t="s">
        <v>165</v>
      </c>
      <c r="J1763" s="201" t="s">
        <v>166</v>
      </c>
    </row>
    <row r="1764" spans="1:10" x14ac:dyDescent="0.2">
      <c r="A1764" s="213">
        <v>42655</v>
      </c>
      <c r="B1764" s="20" t="s">
        <v>127</v>
      </c>
      <c r="C1764" s="130"/>
      <c r="D1764" s="60">
        <v>376272133996</v>
      </c>
      <c r="E1764" s="73">
        <v>351621</v>
      </c>
      <c r="F1764" s="121"/>
      <c r="G1764" s="176">
        <f>6.13+24.77</f>
        <v>30.9</v>
      </c>
      <c r="H1764" s="131" t="s">
        <v>167</v>
      </c>
      <c r="J1764" s="201" t="s">
        <v>166</v>
      </c>
    </row>
    <row r="1765" spans="1:10" x14ac:dyDescent="0.2">
      <c r="A1765" s="213">
        <v>42655</v>
      </c>
      <c r="B1765" s="20" t="s">
        <v>127</v>
      </c>
      <c r="C1765" s="130"/>
      <c r="D1765" s="60">
        <v>376272133996</v>
      </c>
      <c r="E1765" s="73">
        <v>351621</v>
      </c>
      <c r="F1765" s="121"/>
      <c r="G1765" s="176">
        <f>5.24+22.71</f>
        <v>27.950000000000003</v>
      </c>
      <c r="H1765" s="131" t="s">
        <v>168</v>
      </c>
      <c r="J1765" s="201" t="s">
        <v>166</v>
      </c>
    </row>
    <row r="1766" spans="1:10" x14ac:dyDescent="0.2">
      <c r="A1766" s="213">
        <v>42655</v>
      </c>
      <c r="B1766" s="20" t="s">
        <v>127</v>
      </c>
      <c r="C1766" s="130"/>
      <c r="D1766" s="60">
        <v>376272133996</v>
      </c>
      <c r="E1766" s="73">
        <v>351621</v>
      </c>
      <c r="F1766" s="121"/>
      <c r="G1766" s="176">
        <f>6.19+44.77</f>
        <v>50.96</v>
      </c>
      <c r="H1766" s="131" t="s">
        <v>169</v>
      </c>
      <c r="J1766" s="201" t="s">
        <v>166</v>
      </c>
    </row>
    <row r="1767" spans="1:10" x14ac:dyDescent="0.2">
      <c r="A1767" s="213">
        <v>42655</v>
      </c>
      <c r="B1767" s="20" t="s">
        <v>127</v>
      </c>
      <c r="C1767" s="130"/>
      <c r="D1767" s="60">
        <v>376272133996</v>
      </c>
      <c r="E1767" s="73">
        <v>351621</v>
      </c>
      <c r="F1767" s="121"/>
      <c r="G1767" s="176">
        <f>5.6+50.35</f>
        <v>55.95</v>
      </c>
      <c r="H1767" s="131" t="s">
        <v>170</v>
      </c>
      <c r="J1767" s="201" t="s">
        <v>166</v>
      </c>
    </row>
    <row r="1768" spans="1:10" x14ac:dyDescent="0.2">
      <c r="A1768" s="213">
        <v>42655</v>
      </c>
      <c r="B1768" s="20" t="s">
        <v>127</v>
      </c>
      <c r="C1768" s="130"/>
      <c r="D1768" s="60">
        <v>376272133996</v>
      </c>
      <c r="E1768" s="73">
        <v>351621</v>
      </c>
      <c r="F1768" s="121"/>
      <c r="G1768" s="176">
        <f>12+24.95</f>
        <v>36.950000000000003</v>
      </c>
      <c r="H1768" s="131" t="s">
        <v>171</v>
      </c>
      <c r="J1768" s="201" t="s">
        <v>166</v>
      </c>
    </row>
    <row r="1769" spans="1:10" x14ac:dyDescent="0.2">
      <c r="A1769" s="213">
        <v>42655</v>
      </c>
      <c r="B1769" s="20" t="s">
        <v>127</v>
      </c>
      <c r="C1769" s="130"/>
      <c r="D1769" s="60">
        <v>376272133996</v>
      </c>
      <c r="E1769" s="73">
        <v>351621</v>
      </c>
      <c r="F1769" s="121"/>
      <c r="G1769" s="176">
        <f>21.78+83.17</f>
        <v>104.95</v>
      </c>
      <c r="H1769" s="131" t="s">
        <v>172</v>
      </c>
      <c r="J1769" s="201" t="s">
        <v>166</v>
      </c>
    </row>
    <row r="1770" spans="1:10" x14ac:dyDescent="0.2">
      <c r="A1770" s="213">
        <v>42656</v>
      </c>
      <c r="B1770" s="20" t="s">
        <v>127</v>
      </c>
      <c r="C1770" s="130"/>
      <c r="D1770" s="60">
        <v>376272133996</v>
      </c>
      <c r="E1770" s="73">
        <v>351621</v>
      </c>
      <c r="F1770" s="121"/>
      <c r="G1770" s="176">
        <f>24.41+100.54</f>
        <v>124.95</v>
      </c>
      <c r="H1770" s="131" t="s">
        <v>173</v>
      </c>
      <c r="J1770" s="201" t="s">
        <v>166</v>
      </c>
    </row>
    <row r="1771" spans="1:10" x14ac:dyDescent="0.2">
      <c r="A1771" s="213">
        <v>42656</v>
      </c>
      <c r="B1771" s="20" t="s">
        <v>127</v>
      </c>
      <c r="C1771" s="130"/>
      <c r="D1771" s="60">
        <v>376272133996</v>
      </c>
      <c r="E1771" s="73">
        <v>351621</v>
      </c>
      <c r="F1771" s="121"/>
      <c r="G1771" s="176">
        <f>26.75+107.15</f>
        <v>133.9</v>
      </c>
      <c r="H1771" s="131" t="s">
        <v>174</v>
      </c>
      <c r="J1771" s="201" t="s">
        <v>166</v>
      </c>
    </row>
    <row r="1772" spans="1:10" x14ac:dyDescent="0.2">
      <c r="A1772" s="213">
        <v>42656</v>
      </c>
      <c r="B1772" s="20" t="s">
        <v>127</v>
      </c>
      <c r="C1772" s="130"/>
      <c r="D1772" s="60">
        <v>376272133996</v>
      </c>
      <c r="E1772" s="73">
        <v>351621</v>
      </c>
      <c r="F1772" s="121"/>
      <c r="G1772" s="176">
        <f>25.8+46.1</f>
        <v>71.900000000000006</v>
      </c>
      <c r="H1772" s="131" t="s">
        <v>175</v>
      </c>
      <c r="J1772" s="201" t="s">
        <v>166</v>
      </c>
    </row>
    <row r="1773" spans="1:10" x14ac:dyDescent="0.2">
      <c r="A1773" s="213">
        <v>42656</v>
      </c>
      <c r="B1773" s="20" t="s">
        <v>127</v>
      </c>
      <c r="C1773" s="130"/>
      <c r="D1773" s="60">
        <v>376272133996</v>
      </c>
      <c r="E1773" s="73">
        <v>351621</v>
      </c>
      <c r="F1773" s="121"/>
      <c r="G1773" s="176">
        <f>17.03+81.92</f>
        <v>98.95</v>
      </c>
      <c r="H1773" s="131" t="s">
        <v>176</v>
      </c>
      <c r="J1773" s="201" t="s">
        <v>166</v>
      </c>
    </row>
    <row r="1774" spans="1:10" x14ac:dyDescent="0.2">
      <c r="A1774" s="213">
        <v>42656</v>
      </c>
      <c r="B1774" s="20" t="s">
        <v>127</v>
      </c>
      <c r="C1774" s="130"/>
      <c r="D1774" s="60">
        <v>376272133996</v>
      </c>
      <c r="E1774" s="73">
        <v>351621</v>
      </c>
      <c r="F1774" s="121"/>
      <c r="G1774" s="176">
        <f>24.41+100.54</f>
        <v>124.95</v>
      </c>
      <c r="H1774" s="131" t="s">
        <v>177</v>
      </c>
      <c r="J1774" s="201" t="s">
        <v>166</v>
      </c>
    </row>
    <row r="1775" spans="1:10" x14ac:dyDescent="0.2">
      <c r="A1775" s="213">
        <v>42653</v>
      </c>
      <c r="B1775" s="20" t="s">
        <v>127</v>
      </c>
      <c r="C1775" s="130"/>
      <c r="D1775" s="60">
        <v>376220322998</v>
      </c>
      <c r="E1775" s="73">
        <v>220501</v>
      </c>
      <c r="F1775" s="121"/>
      <c r="G1775" s="176">
        <v>42.4</v>
      </c>
      <c r="H1775" s="131" t="s">
        <v>178</v>
      </c>
      <c r="J1775" s="201" t="s">
        <v>179</v>
      </c>
    </row>
    <row r="1776" spans="1:10" x14ac:dyDescent="0.2">
      <c r="A1776" s="213">
        <v>42653</v>
      </c>
      <c r="B1776" s="20" t="s">
        <v>127</v>
      </c>
      <c r="C1776" s="130"/>
      <c r="D1776" s="60">
        <v>376238825990</v>
      </c>
      <c r="E1776" s="73">
        <v>201228</v>
      </c>
      <c r="F1776" s="121"/>
      <c r="G1776" s="176">
        <v>19.95</v>
      </c>
      <c r="H1776" s="131" t="s">
        <v>180</v>
      </c>
      <c r="J1776" s="201" t="s">
        <v>179</v>
      </c>
    </row>
    <row r="1777" spans="1:13" s="203" customFormat="1" x14ac:dyDescent="0.2">
      <c r="A1777" s="221" t="s">
        <v>1956</v>
      </c>
      <c r="B1777" s="216" t="s">
        <v>0</v>
      </c>
      <c r="C1777" s="203" t="s">
        <v>238</v>
      </c>
      <c r="D1777" s="299" t="s">
        <v>1671</v>
      </c>
      <c r="E1777" s="74">
        <v>214427</v>
      </c>
      <c r="F1777" s="217" t="s">
        <v>1909</v>
      </c>
      <c r="G1777" s="271">
        <v>38.950000000000003</v>
      </c>
      <c r="H1777" s="223"/>
      <c r="J1777" s="308" t="s">
        <v>246</v>
      </c>
    </row>
    <row r="1778" spans="1:13" x14ac:dyDescent="0.2">
      <c r="A1778" s="119">
        <v>42658</v>
      </c>
      <c r="B1778" s="115" t="s">
        <v>127</v>
      </c>
      <c r="D1778" s="121" t="s">
        <v>181</v>
      </c>
      <c r="E1778" s="73">
        <v>351215</v>
      </c>
      <c r="F1778" s="121"/>
      <c r="G1778" s="122">
        <v>230</v>
      </c>
      <c r="H1778" s="117">
        <v>2433090</v>
      </c>
      <c r="J1778" s="196" t="s">
        <v>182</v>
      </c>
      <c r="K1778" s="39"/>
      <c r="L1778" s="39"/>
      <c r="M1778" s="39"/>
    </row>
    <row r="1779" spans="1:13" x14ac:dyDescent="0.2">
      <c r="A1779" s="119">
        <v>42660</v>
      </c>
      <c r="B1779" s="115" t="s">
        <v>127</v>
      </c>
      <c r="D1779" s="121" t="s">
        <v>181</v>
      </c>
      <c r="E1779" s="73">
        <v>351215</v>
      </c>
      <c r="F1779" s="121"/>
      <c r="G1779" s="122">
        <v>67</v>
      </c>
      <c r="H1779" s="117">
        <v>2433801</v>
      </c>
      <c r="J1779" s="196" t="s">
        <v>182</v>
      </c>
    </row>
    <row r="1780" spans="1:13" x14ac:dyDescent="0.2">
      <c r="A1780" s="119">
        <v>42661</v>
      </c>
      <c r="B1780" s="115" t="s">
        <v>127</v>
      </c>
      <c r="D1780" s="121" t="s">
        <v>181</v>
      </c>
      <c r="E1780" s="73">
        <v>351215</v>
      </c>
      <c r="F1780" s="121"/>
      <c r="G1780" s="122">
        <v>194.4</v>
      </c>
      <c r="H1780" s="117">
        <v>2441630</v>
      </c>
      <c r="J1780" s="196" t="s">
        <v>182</v>
      </c>
    </row>
    <row r="1781" spans="1:13" x14ac:dyDescent="0.2">
      <c r="A1781" s="119">
        <v>42661</v>
      </c>
      <c r="B1781" s="115" t="s">
        <v>127</v>
      </c>
      <c r="D1781" s="121" t="s">
        <v>181</v>
      </c>
      <c r="E1781" s="73">
        <v>351215</v>
      </c>
      <c r="F1781" s="121"/>
      <c r="G1781" s="122">
        <v>122</v>
      </c>
      <c r="H1781" s="117">
        <v>2437532</v>
      </c>
      <c r="J1781" s="196" t="s">
        <v>182</v>
      </c>
    </row>
    <row r="1782" spans="1:13" x14ac:dyDescent="0.2">
      <c r="A1782" s="119">
        <v>42661</v>
      </c>
      <c r="B1782" s="115" t="s">
        <v>127</v>
      </c>
      <c r="D1782" s="121" t="s">
        <v>181</v>
      </c>
      <c r="E1782" s="73">
        <v>351215</v>
      </c>
      <c r="F1782" s="121"/>
      <c r="G1782" s="122">
        <v>92.38</v>
      </c>
      <c r="H1782" s="117">
        <v>2442248</v>
      </c>
      <c r="J1782" s="196" t="s">
        <v>182</v>
      </c>
    </row>
    <row r="1783" spans="1:13" x14ac:dyDescent="0.2">
      <c r="A1783" s="119">
        <v>42661</v>
      </c>
      <c r="B1783" s="115" t="s">
        <v>127</v>
      </c>
      <c r="D1783" s="121" t="s">
        <v>181</v>
      </c>
      <c r="E1783" s="73">
        <v>351215</v>
      </c>
      <c r="F1783" s="121"/>
      <c r="G1783" s="122">
        <v>125.28</v>
      </c>
      <c r="H1783" s="117">
        <v>2437782</v>
      </c>
      <c r="J1783" s="196" t="s">
        <v>182</v>
      </c>
    </row>
    <row r="1784" spans="1:13" x14ac:dyDescent="0.2">
      <c r="A1784" s="119">
        <v>42661</v>
      </c>
      <c r="B1784" s="115" t="s">
        <v>127</v>
      </c>
      <c r="D1784" s="121" t="s">
        <v>181</v>
      </c>
      <c r="E1784" s="73">
        <v>351215</v>
      </c>
      <c r="F1784" s="121"/>
      <c r="G1784" s="122">
        <v>114.18</v>
      </c>
      <c r="H1784" s="117">
        <v>2439618</v>
      </c>
      <c r="J1784" s="196" t="s">
        <v>182</v>
      </c>
    </row>
    <row r="1785" spans="1:13" x14ac:dyDescent="0.2">
      <c r="A1785" s="119">
        <v>42662</v>
      </c>
      <c r="B1785" s="115" t="s">
        <v>127</v>
      </c>
      <c r="D1785" s="121" t="s">
        <v>181</v>
      </c>
      <c r="E1785" s="73">
        <v>351215</v>
      </c>
      <c r="F1785" s="121"/>
      <c r="G1785" s="122">
        <v>94.16</v>
      </c>
      <c r="H1785" s="117">
        <v>2444695</v>
      </c>
      <c r="J1785" s="196" t="s">
        <v>182</v>
      </c>
    </row>
    <row r="1786" spans="1:13" x14ac:dyDescent="0.2">
      <c r="A1786" s="119">
        <v>42662</v>
      </c>
      <c r="B1786" s="115" t="s">
        <v>127</v>
      </c>
      <c r="D1786" s="121" t="s">
        <v>181</v>
      </c>
      <c r="E1786" s="73">
        <v>351215</v>
      </c>
      <c r="F1786" s="121"/>
      <c r="G1786" s="122">
        <v>126.9</v>
      </c>
      <c r="H1786" s="117">
        <v>2442257</v>
      </c>
      <c r="J1786" s="196" t="s">
        <v>182</v>
      </c>
    </row>
    <row r="1787" spans="1:13" x14ac:dyDescent="0.2">
      <c r="A1787" s="119">
        <v>42663</v>
      </c>
      <c r="B1787" s="115" t="s">
        <v>127</v>
      </c>
      <c r="D1787" s="121" t="s">
        <v>181</v>
      </c>
      <c r="E1787" s="73">
        <v>351215</v>
      </c>
      <c r="F1787" s="121"/>
      <c r="G1787" s="122">
        <v>158.4</v>
      </c>
      <c r="H1787" s="117">
        <v>2446297</v>
      </c>
      <c r="J1787" s="196" t="s">
        <v>182</v>
      </c>
    </row>
    <row r="1788" spans="1:13" x14ac:dyDescent="0.2">
      <c r="A1788" s="119">
        <v>42663</v>
      </c>
      <c r="B1788" s="115" t="s">
        <v>127</v>
      </c>
      <c r="D1788" s="121" t="s">
        <v>181</v>
      </c>
      <c r="E1788" s="73">
        <v>351215</v>
      </c>
      <c r="F1788" s="121"/>
      <c r="G1788" s="122">
        <v>173.71</v>
      </c>
      <c r="H1788" s="117">
        <v>2447692</v>
      </c>
      <c r="J1788" s="196" t="s">
        <v>182</v>
      </c>
    </row>
    <row r="1789" spans="1:13" x14ac:dyDescent="0.2">
      <c r="A1789" s="119">
        <v>42664</v>
      </c>
      <c r="B1789" s="115" t="s">
        <v>127</v>
      </c>
      <c r="D1789" s="121" t="s">
        <v>181</v>
      </c>
      <c r="E1789" s="73">
        <v>351215</v>
      </c>
      <c r="F1789" s="121"/>
      <c r="G1789" s="122">
        <v>112.02</v>
      </c>
      <c r="H1789" s="117">
        <v>2452714</v>
      </c>
      <c r="J1789" s="196" t="s">
        <v>182</v>
      </c>
    </row>
    <row r="1790" spans="1:13" x14ac:dyDescent="0.2">
      <c r="A1790" s="119">
        <v>42664</v>
      </c>
      <c r="B1790" s="115" t="s">
        <v>127</v>
      </c>
      <c r="D1790" s="121" t="s">
        <v>181</v>
      </c>
      <c r="E1790" s="73">
        <v>351215</v>
      </c>
      <c r="F1790" s="121"/>
      <c r="G1790" s="122">
        <v>118</v>
      </c>
      <c r="H1790" s="117">
        <v>2449583</v>
      </c>
      <c r="J1790" s="196" t="s">
        <v>182</v>
      </c>
    </row>
    <row r="1791" spans="1:13" x14ac:dyDescent="0.2">
      <c r="A1791" s="119">
        <v>42659</v>
      </c>
      <c r="B1791" s="115" t="s">
        <v>127</v>
      </c>
      <c r="D1791" s="121" t="s">
        <v>183</v>
      </c>
      <c r="E1791" s="73">
        <v>2433224</v>
      </c>
      <c r="F1791" s="121"/>
      <c r="G1791" s="122">
        <f>13.37+86.4</f>
        <v>99.77000000000001</v>
      </c>
      <c r="H1791" s="117">
        <v>2433224</v>
      </c>
      <c r="J1791" s="198" t="s">
        <v>179</v>
      </c>
    </row>
    <row r="1792" spans="1:13" x14ac:dyDescent="0.2">
      <c r="A1792" s="119">
        <v>42661</v>
      </c>
      <c r="B1792" s="115" t="s">
        <v>127</v>
      </c>
      <c r="D1792" s="121" t="s">
        <v>183</v>
      </c>
      <c r="E1792" s="73">
        <v>2433224</v>
      </c>
      <c r="F1792" s="121"/>
      <c r="G1792" s="122">
        <f>17.56+134.35</f>
        <v>151.91</v>
      </c>
      <c r="H1792" s="117">
        <v>2433379</v>
      </c>
      <c r="J1792" s="198" t="s">
        <v>179</v>
      </c>
    </row>
    <row r="1793" spans="1:12" x14ac:dyDescent="0.2">
      <c r="A1793" s="119">
        <v>42664</v>
      </c>
      <c r="B1793" s="115" t="s">
        <v>127</v>
      </c>
      <c r="D1793" s="121" t="s">
        <v>183</v>
      </c>
      <c r="E1793" s="73">
        <v>2433224</v>
      </c>
      <c r="F1793" s="121"/>
      <c r="G1793" s="122">
        <f>42.26+135.07</f>
        <v>177.32999999999998</v>
      </c>
      <c r="H1793" s="117">
        <v>2445535</v>
      </c>
      <c r="J1793" s="198" t="s">
        <v>179</v>
      </c>
    </row>
    <row r="1794" spans="1:12" x14ac:dyDescent="0.2">
      <c r="A1794" s="119">
        <v>42664</v>
      </c>
      <c r="B1794" s="115" t="s">
        <v>127</v>
      </c>
      <c r="D1794" s="121" t="s">
        <v>183</v>
      </c>
      <c r="E1794" s="73">
        <v>2433224</v>
      </c>
      <c r="F1794" s="121"/>
      <c r="G1794" s="122">
        <f>9.75+85.82</f>
        <v>95.57</v>
      </c>
      <c r="H1794" s="117">
        <v>2448712</v>
      </c>
      <c r="J1794" s="198" t="s">
        <v>179</v>
      </c>
    </row>
    <row r="1795" spans="1:12" x14ac:dyDescent="0.2">
      <c r="A1795" s="119">
        <v>42661</v>
      </c>
      <c r="B1795" s="115" t="s">
        <v>127</v>
      </c>
      <c r="D1795" s="121" t="s">
        <v>184</v>
      </c>
      <c r="E1795" s="73">
        <v>226274</v>
      </c>
      <c r="F1795" s="121"/>
      <c r="G1795" s="122">
        <v>96.69</v>
      </c>
      <c r="H1795" s="117">
        <v>2442461</v>
      </c>
      <c r="J1795" s="198" t="s">
        <v>179</v>
      </c>
    </row>
    <row r="1796" spans="1:12" x14ac:dyDescent="0.2">
      <c r="A1796" s="119">
        <v>42661</v>
      </c>
      <c r="B1796" s="115" t="s">
        <v>0</v>
      </c>
      <c r="C1796" s="130"/>
      <c r="D1796" s="202" t="s">
        <v>185</v>
      </c>
      <c r="E1796" s="73">
        <v>352990</v>
      </c>
      <c r="F1796" s="120" t="s">
        <v>186</v>
      </c>
      <c r="G1796" s="176">
        <v>15.76</v>
      </c>
      <c r="H1796" s="131"/>
      <c r="J1796" s="198" t="s">
        <v>187</v>
      </c>
    </row>
    <row r="1797" spans="1:12" x14ac:dyDescent="0.2">
      <c r="A1797" s="119">
        <v>42669</v>
      </c>
      <c r="B1797" s="115" t="s">
        <v>127</v>
      </c>
      <c r="D1797" s="121" t="s">
        <v>183</v>
      </c>
      <c r="E1797" s="73">
        <v>220501</v>
      </c>
      <c r="F1797" s="121"/>
      <c r="G1797" s="122">
        <v>59.39</v>
      </c>
      <c r="H1797" s="117">
        <v>2463895</v>
      </c>
      <c r="J1797" s="198" t="s">
        <v>179</v>
      </c>
      <c r="K1797" s="39"/>
      <c r="L1797" s="39"/>
    </row>
    <row r="1798" spans="1:12" x14ac:dyDescent="0.2">
      <c r="A1798" s="119">
        <v>42667</v>
      </c>
      <c r="B1798" s="115" t="s">
        <v>127</v>
      </c>
      <c r="D1798" s="121" t="s">
        <v>181</v>
      </c>
      <c r="E1798" s="73">
        <v>351215</v>
      </c>
      <c r="F1798" s="121"/>
      <c r="G1798" s="122">
        <v>321.13</v>
      </c>
      <c r="H1798" s="117">
        <v>2454695</v>
      </c>
      <c r="J1798" s="39" t="s">
        <v>188</v>
      </c>
    </row>
    <row r="1799" spans="1:12" x14ac:dyDescent="0.2">
      <c r="A1799" s="119">
        <v>42668</v>
      </c>
      <c r="B1799" s="115" t="s">
        <v>127</v>
      </c>
      <c r="D1799" s="121" t="s">
        <v>181</v>
      </c>
      <c r="E1799" s="73">
        <v>351215</v>
      </c>
      <c r="F1799" s="121"/>
      <c r="G1799" s="122">
        <v>224.69</v>
      </c>
      <c r="H1799" s="117">
        <v>2456121</v>
      </c>
      <c r="J1799" s="39" t="s">
        <v>188</v>
      </c>
    </row>
    <row r="1800" spans="1:12" x14ac:dyDescent="0.2">
      <c r="A1800" s="119">
        <v>42668</v>
      </c>
      <c r="B1800" s="115" t="s">
        <v>127</v>
      </c>
      <c r="D1800" s="121" t="s">
        <v>181</v>
      </c>
      <c r="E1800" s="73">
        <v>351215</v>
      </c>
      <c r="F1800" s="121"/>
      <c r="G1800" s="122">
        <v>51</v>
      </c>
      <c r="H1800" s="117">
        <v>2459597</v>
      </c>
      <c r="J1800" s="39" t="s">
        <v>188</v>
      </c>
    </row>
    <row r="1801" spans="1:12" x14ac:dyDescent="0.2">
      <c r="A1801" s="119">
        <v>42669</v>
      </c>
      <c r="B1801" s="115" t="s">
        <v>127</v>
      </c>
      <c r="D1801" s="121" t="s">
        <v>181</v>
      </c>
      <c r="E1801" s="73">
        <v>351215</v>
      </c>
      <c r="F1801" s="121"/>
      <c r="G1801" s="122">
        <v>54</v>
      </c>
      <c r="H1801" s="117">
        <v>2464964</v>
      </c>
      <c r="J1801" s="39" t="s">
        <v>188</v>
      </c>
    </row>
    <row r="1802" spans="1:12" x14ac:dyDescent="0.2">
      <c r="A1802" s="119">
        <v>42669</v>
      </c>
      <c r="B1802" s="115" t="s">
        <v>127</v>
      </c>
      <c r="D1802" s="121" t="s">
        <v>181</v>
      </c>
      <c r="E1802" s="73">
        <v>351215</v>
      </c>
      <c r="F1802" s="121"/>
      <c r="G1802" s="122">
        <v>70.680000000000007</v>
      </c>
      <c r="H1802" s="117">
        <v>2459990</v>
      </c>
      <c r="J1802" s="39" t="s">
        <v>188</v>
      </c>
    </row>
    <row r="1803" spans="1:12" x14ac:dyDescent="0.2">
      <c r="A1803" s="119">
        <v>42670</v>
      </c>
      <c r="B1803" s="115" t="s">
        <v>127</v>
      </c>
      <c r="D1803" s="121" t="s">
        <v>181</v>
      </c>
      <c r="E1803" s="73">
        <v>351215</v>
      </c>
      <c r="F1803" s="121"/>
      <c r="G1803" s="122">
        <v>169.73</v>
      </c>
      <c r="H1803" s="117">
        <v>2466431</v>
      </c>
      <c r="J1803" s="39" t="s">
        <v>188</v>
      </c>
    </row>
    <row r="1804" spans="1:12" x14ac:dyDescent="0.2">
      <c r="A1804" s="119">
        <v>42671</v>
      </c>
      <c r="B1804" s="115" t="s">
        <v>127</v>
      </c>
      <c r="D1804" s="121" t="s">
        <v>181</v>
      </c>
      <c r="E1804" s="73">
        <v>351215</v>
      </c>
      <c r="F1804" s="121"/>
      <c r="G1804" s="122">
        <v>58.87</v>
      </c>
      <c r="H1804" s="117">
        <v>2468576</v>
      </c>
      <c r="J1804" s="39" t="s">
        <v>188</v>
      </c>
    </row>
    <row r="1805" spans="1:12" x14ac:dyDescent="0.2">
      <c r="A1805" s="119">
        <v>42671</v>
      </c>
      <c r="B1805" s="115" t="s">
        <v>127</v>
      </c>
      <c r="D1805" s="121" t="s">
        <v>181</v>
      </c>
      <c r="E1805" s="73">
        <v>351215</v>
      </c>
      <c r="F1805" s="121"/>
      <c r="G1805" s="122">
        <v>70.2</v>
      </c>
      <c r="H1805" s="117">
        <v>2472086</v>
      </c>
      <c r="J1805" s="39" t="s">
        <v>188</v>
      </c>
    </row>
    <row r="1806" spans="1:12" x14ac:dyDescent="0.2">
      <c r="A1806" s="119">
        <v>42671</v>
      </c>
      <c r="B1806" s="115" t="s">
        <v>127</v>
      </c>
      <c r="D1806" s="121" t="s">
        <v>181</v>
      </c>
      <c r="E1806" s="73">
        <v>351215</v>
      </c>
      <c r="F1806" s="121"/>
      <c r="G1806" s="122">
        <v>185.81</v>
      </c>
      <c r="H1806" s="117">
        <v>2469868</v>
      </c>
      <c r="J1806" s="39" t="s">
        <v>188</v>
      </c>
    </row>
    <row r="1807" spans="1:12" s="203" customFormat="1" x14ac:dyDescent="0.2">
      <c r="A1807" s="221" t="s">
        <v>1910</v>
      </c>
      <c r="B1807" s="216" t="s">
        <v>0</v>
      </c>
      <c r="C1807" s="222" t="s">
        <v>238</v>
      </c>
      <c r="D1807" s="108" t="s">
        <v>1911</v>
      </c>
      <c r="E1807" s="74">
        <v>350492</v>
      </c>
      <c r="F1807" s="217" t="s">
        <v>1912</v>
      </c>
      <c r="G1807" s="218">
        <v>174.9</v>
      </c>
      <c r="J1807" s="302" t="s">
        <v>246</v>
      </c>
    </row>
    <row r="1808" spans="1:12" s="203" customFormat="1" x14ac:dyDescent="0.2">
      <c r="A1808" s="221" t="s">
        <v>1910</v>
      </c>
      <c r="B1808" s="216" t="s">
        <v>0</v>
      </c>
      <c r="C1808" s="222" t="s">
        <v>238</v>
      </c>
      <c r="D1808" s="108" t="s">
        <v>1913</v>
      </c>
      <c r="E1808" s="74">
        <v>351539</v>
      </c>
      <c r="F1808" s="217" t="s">
        <v>1914</v>
      </c>
      <c r="G1808" s="218">
        <v>48.95</v>
      </c>
      <c r="J1808" s="302" t="s">
        <v>246</v>
      </c>
    </row>
    <row r="1809" spans="1:10" s="203" customFormat="1" x14ac:dyDescent="0.2">
      <c r="A1809" s="221" t="s">
        <v>1957</v>
      </c>
      <c r="B1809" s="216" t="s">
        <v>0</v>
      </c>
      <c r="C1809" s="203" t="s">
        <v>238</v>
      </c>
      <c r="D1809" s="299" t="s">
        <v>1710</v>
      </c>
      <c r="E1809" s="74">
        <v>351488</v>
      </c>
      <c r="F1809" s="217" t="s">
        <v>1916</v>
      </c>
      <c r="G1809" s="218">
        <v>66.95</v>
      </c>
      <c r="J1809" s="302" t="s">
        <v>246</v>
      </c>
    </row>
    <row r="1810" spans="1:10" s="203" customFormat="1" x14ac:dyDescent="0.2">
      <c r="A1810" s="221" t="s">
        <v>1915</v>
      </c>
      <c r="B1810" s="216" t="s">
        <v>0</v>
      </c>
      <c r="C1810" s="203" t="s">
        <v>238</v>
      </c>
      <c r="D1810" s="299" t="s">
        <v>1917</v>
      </c>
      <c r="E1810" s="74">
        <v>98384</v>
      </c>
      <c r="F1810" s="217" t="s">
        <v>1918</v>
      </c>
      <c r="G1810" s="218">
        <v>139.16</v>
      </c>
      <c r="J1810" s="302" t="s">
        <v>246</v>
      </c>
    </row>
    <row r="1811" spans="1:10" s="203" customFormat="1" x14ac:dyDescent="0.2">
      <c r="A1811" s="221" t="s">
        <v>1915</v>
      </c>
      <c r="B1811" s="216" t="s">
        <v>0</v>
      </c>
      <c r="C1811" s="203" t="s">
        <v>238</v>
      </c>
      <c r="D1811" s="299" t="s">
        <v>1919</v>
      </c>
      <c r="E1811" s="309">
        <v>201531</v>
      </c>
      <c r="F1811" s="217" t="s">
        <v>1920</v>
      </c>
      <c r="G1811" s="218">
        <v>84.95</v>
      </c>
      <c r="J1811" s="302" t="s">
        <v>246</v>
      </c>
    </row>
    <row r="1812" spans="1:10" x14ac:dyDescent="0.2">
      <c r="A1812" s="119">
        <v>42673.476134259261</v>
      </c>
      <c r="B1812" s="115" t="s">
        <v>127</v>
      </c>
      <c r="D1812" s="194" t="s">
        <v>181</v>
      </c>
      <c r="E1812" s="73">
        <v>351215</v>
      </c>
      <c r="F1812" s="121"/>
      <c r="G1812" s="122">
        <v>56.71</v>
      </c>
      <c r="H1812" s="117">
        <v>2473865</v>
      </c>
      <c r="J1812" s="196" t="s">
        <v>206</v>
      </c>
    </row>
    <row r="1813" spans="1:10" x14ac:dyDescent="0.2">
      <c r="A1813" s="119">
        <v>42674.16337962963</v>
      </c>
      <c r="B1813" s="115" t="s">
        <v>127</v>
      </c>
      <c r="D1813" s="194" t="s">
        <v>181</v>
      </c>
      <c r="E1813" s="73">
        <v>351215</v>
      </c>
      <c r="F1813" s="121"/>
      <c r="G1813" s="122">
        <v>57.35</v>
      </c>
      <c r="H1813" s="117">
        <v>2476975</v>
      </c>
      <c r="J1813" s="196" t="s">
        <v>206</v>
      </c>
    </row>
    <row r="1814" spans="1:10" x14ac:dyDescent="0.2">
      <c r="A1814" s="119">
        <v>42674.196585648147</v>
      </c>
      <c r="B1814" s="115" t="s">
        <v>127</v>
      </c>
      <c r="D1814" s="194" t="s">
        <v>181</v>
      </c>
      <c r="E1814" s="73">
        <v>351215</v>
      </c>
      <c r="F1814" s="121"/>
      <c r="G1814" s="122">
        <v>60.3</v>
      </c>
      <c r="H1814" s="117">
        <v>2479591</v>
      </c>
      <c r="J1814" s="196" t="s">
        <v>206</v>
      </c>
    </row>
    <row r="1815" spans="1:10" x14ac:dyDescent="0.2">
      <c r="A1815" s="119">
        <v>42674.259560185186</v>
      </c>
      <c r="B1815" s="115" t="s">
        <v>127</v>
      </c>
      <c r="D1815" s="194" t="s">
        <v>181</v>
      </c>
      <c r="E1815" s="73">
        <v>351215</v>
      </c>
      <c r="F1815" s="121"/>
      <c r="G1815" s="122">
        <v>118</v>
      </c>
      <c r="H1815" s="117">
        <v>2479755</v>
      </c>
      <c r="J1815" s="196" t="s">
        <v>206</v>
      </c>
    </row>
    <row r="1816" spans="1:10" x14ac:dyDescent="0.2">
      <c r="A1816" s="119">
        <v>42674.268993055557</v>
      </c>
      <c r="B1816" s="115" t="s">
        <v>127</v>
      </c>
      <c r="D1816" s="194" t="s">
        <v>181</v>
      </c>
      <c r="E1816" s="73">
        <v>351215</v>
      </c>
      <c r="F1816" s="121"/>
      <c r="G1816" s="122">
        <v>118</v>
      </c>
      <c r="H1816" s="117">
        <v>2479603</v>
      </c>
      <c r="J1816" s="196" t="s">
        <v>206</v>
      </c>
    </row>
    <row r="1817" spans="1:10" x14ac:dyDescent="0.2">
      <c r="A1817" s="119">
        <v>42674.41097222222</v>
      </c>
      <c r="B1817" s="115" t="s">
        <v>127</v>
      </c>
      <c r="D1817" s="194" t="s">
        <v>181</v>
      </c>
      <c r="E1817" s="73">
        <v>351215</v>
      </c>
      <c r="F1817" s="121"/>
      <c r="G1817" s="122">
        <v>91.75</v>
      </c>
      <c r="H1817" s="117">
        <v>2477224</v>
      </c>
      <c r="J1817" s="196" t="s">
        <v>206</v>
      </c>
    </row>
    <row r="1818" spans="1:10" x14ac:dyDescent="0.2">
      <c r="A1818" s="119">
        <v>42674.442997685182</v>
      </c>
      <c r="B1818" s="115" t="s">
        <v>127</v>
      </c>
      <c r="D1818" s="194" t="s">
        <v>181</v>
      </c>
      <c r="E1818" s="73">
        <v>351215</v>
      </c>
      <c r="F1818" s="121"/>
      <c r="G1818" s="122">
        <v>250.71</v>
      </c>
      <c r="H1818" s="117">
        <v>2475732</v>
      </c>
      <c r="J1818" s="196" t="s">
        <v>206</v>
      </c>
    </row>
    <row r="1819" spans="1:10" x14ac:dyDescent="0.2">
      <c r="A1819" s="119">
        <v>42674.459062499998</v>
      </c>
      <c r="B1819" s="115" t="s">
        <v>127</v>
      </c>
      <c r="D1819" s="194" t="s">
        <v>181</v>
      </c>
      <c r="E1819" s="73">
        <v>351215</v>
      </c>
      <c r="F1819" s="121"/>
      <c r="G1819" s="122">
        <v>209.7</v>
      </c>
      <c r="H1819" s="117">
        <v>2477138</v>
      </c>
      <c r="J1819" s="196" t="s">
        <v>206</v>
      </c>
    </row>
    <row r="1820" spans="1:10" x14ac:dyDescent="0.2">
      <c r="A1820" s="119">
        <v>42674.462199074071</v>
      </c>
      <c r="B1820" s="115" t="s">
        <v>127</v>
      </c>
      <c r="D1820" s="194" t="s">
        <v>181</v>
      </c>
      <c r="E1820" s="73">
        <v>351215</v>
      </c>
      <c r="F1820" s="121"/>
      <c r="G1820" s="122">
        <v>118</v>
      </c>
      <c r="H1820" s="117">
        <v>2476225</v>
      </c>
      <c r="J1820" s="196" t="s">
        <v>206</v>
      </c>
    </row>
    <row r="1821" spans="1:10" x14ac:dyDescent="0.2">
      <c r="A1821" s="119">
        <v>42674.483611111114</v>
      </c>
      <c r="B1821" s="115" t="s">
        <v>127</v>
      </c>
      <c r="D1821" s="194" t="s">
        <v>181</v>
      </c>
      <c r="E1821" s="73">
        <v>351215</v>
      </c>
      <c r="F1821" s="121"/>
      <c r="G1821" s="122">
        <v>56.71</v>
      </c>
      <c r="H1821" s="117">
        <v>2476269</v>
      </c>
      <c r="J1821" s="196" t="s">
        <v>206</v>
      </c>
    </row>
    <row r="1822" spans="1:10" x14ac:dyDescent="0.2">
      <c r="A1822" s="119">
        <v>42674.511331018519</v>
      </c>
      <c r="B1822" s="115" t="s">
        <v>127</v>
      </c>
      <c r="D1822" s="194" t="s">
        <v>181</v>
      </c>
      <c r="E1822" s="73">
        <v>351215</v>
      </c>
      <c r="F1822" s="121"/>
      <c r="G1822" s="122">
        <v>55</v>
      </c>
      <c r="H1822" s="117">
        <v>2476662</v>
      </c>
      <c r="J1822" s="196" t="s">
        <v>206</v>
      </c>
    </row>
    <row r="1823" spans="1:10" x14ac:dyDescent="0.2">
      <c r="A1823" s="119">
        <v>42674.517025462963</v>
      </c>
      <c r="B1823" s="115" t="s">
        <v>127</v>
      </c>
      <c r="D1823" s="194" t="s">
        <v>181</v>
      </c>
      <c r="E1823" s="73">
        <v>351215</v>
      </c>
      <c r="F1823" s="121"/>
      <c r="G1823" s="122">
        <v>51.52</v>
      </c>
      <c r="H1823" s="117">
        <v>2476928</v>
      </c>
      <c r="J1823" s="196" t="s">
        <v>206</v>
      </c>
    </row>
    <row r="1824" spans="1:10" x14ac:dyDescent="0.2">
      <c r="A1824" s="213">
        <v>42681</v>
      </c>
      <c r="B1824" s="115" t="s">
        <v>127</v>
      </c>
      <c r="D1824" s="194" t="s">
        <v>181</v>
      </c>
      <c r="E1824" s="73">
        <v>351215</v>
      </c>
      <c r="F1824" s="121"/>
      <c r="G1824" s="122">
        <v>95.48</v>
      </c>
      <c r="H1824" s="117">
        <v>2498972</v>
      </c>
      <c r="J1824" s="196" t="s">
        <v>182</v>
      </c>
    </row>
    <row r="1825" spans="1:10" x14ac:dyDescent="0.2">
      <c r="A1825" s="213">
        <v>42681</v>
      </c>
      <c r="B1825" s="115" t="s">
        <v>127</v>
      </c>
      <c r="D1825" s="194" t="s">
        <v>181</v>
      </c>
      <c r="E1825" s="73">
        <v>351215</v>
      </c>
      <c r="F1825" s="121"/>
      <c r="G1825" s="122">
        <v>143.72</v>
      </c>
      <c r="H1825" s="117" t="s">
        <v>189</v>
      </c>
      <c r="J1825" s="196" t="s">
        <v>182</v>
      </c>
    </row>
    <row r="1826" spans="1:10" x14ac:dyDescent="0.2">
      <c r="A1826" s="213">
        <v>42681</v>
      </c>
      <c r="B1826" s="115" t="s">
        <v>127</v>
      </c>
      <c r="D1826" s="194" t="s">
        <v>181</v>
      </c>
      <c r="E1826" s="73">
        <v>351215</v>
      </c>
      <c r="F1826" s="121"/>
      <c r="G1826" s="122">
        <v>106</v>
      </c>
      <c r="H1826" s="117">
        <v>2498587</v>
      </c>
      <c r="J1826" s="196" t="s">
        <v>182</v>
      </c>
    </row>
    <row r="1827" spans="1:10" x14ac:dyDescent="0.2">
      <c r="A1827" s="213">
        <v>42682</v>
      </c>
      <c r="B1827" s="115" t="s">
        <v>127</v>
      </c>
      <c r="D1827" s="194" t="s">
        <v>181</v>
      </c>
      <c r="E1827" s="73">
        <v>351215</v>
      </c>
      <c r="F1827" s="121"/>
      <c r="G1827" s="122">
        <v>361.9</v>
      </c>
      <c r="H1827" s="117">
        <v>2505646</v>
      </c>
      <c r="J1827" s="196" t="s">
        <v>182</v>
      </c>
    </row>
    <row r="1828" spans="1:10" x14ac:dyDescent="0.2">
      <c r="A1828" s="213">
        <v>42682</v>
      </c>
      <c r="B1828" s="115" t="s">
        <v>127</v>
      </c>
      <c r="D1828" s="194" t="s">
        <v>181</v>
      </c>
      <c r="E1828" s="73">
        <v>351215</v>
      </c>
      <c r="F1828" s="121"/>
      <c r="G1828" s="122">
        <v>96</v>
      </c>
      <c r="H1828" s="117">
        <v>2502471</v>
      </c>
      <c r="J1828" s="196" t="s">
        <v>182</v>
      </c>
    </row>
    <row r="1829" spans="1:10" x14ac:dyDescent="0.2">
      <c r="A1829" s="213">
        <v>42682</v>
      </c>
      <c r="B1829" s="115" t="s">
        <v>127</v>
      </c>
      <c r="D1829" s="194" t="s">
        <v>181</v>
      </c>
      <c r="E1829" s="73">
        <v>351215</v>
      </c>
      <c r="F1829" s="121"/>
      <c r="G1829" s="122">
        <v>106</v>
      </c>
      <c r="H1829" s="117">
        <v>2504114</v>
      </c>
      <c r="J1829" s="196" t="s">
        <v>182</v>
      </c>
    </row>
    <row r="1830" spans="1:10" x14ac:dyDescent="0.2">
      <c r="A1830" s="213">
        <v>42683</v>
      </c>
      <c r="B1830" s="115" t="s">
        <v>127</v>
      </c>
      <c r="D1830" s="194" t="s">
        <v>181</v>
      </c>
      <c r="E1830" s="73">
        <v>351215</v>
      </c>
      <c r="F1830" s="121"/>
      <c r="G1830" s="122">
        <v>251.66</v>
      </c>
      <c r="H1830" s="117">
        <v>2502424</v>
      </c>
      <c r="J1830" s="196" t="s">
        <v>182</v>
      </c>
    </row>
    <row r="1831" spans="1:10" x14ac:dyDescent="0.2">
      <c r="A1831" s="213">
        <v>42683</v>
      </c>
      <c r="B1831" s="115" t="s">
        <v>127</v>
      </c>
      <c r="D1831" s="194" t="s">
        <v>181</v>
      </c>
      <c r="E1831" s="73">
        <v>351215</v>
      </c>
      <c r="F1831" s="121"/>
      <c r="G1831" s="122">
        <v>79</v>
      </c>
      <c r="H1831" s="117">
        <v>2506188</v>
      </c>
      <c r="J1831" s="196" t="s">
        <v>182</v>
      </c>
    </row>
    <row r="1832" spans="1:10" x14ac:dyDescent="0.2">
      <c r="A1832" s="213">
        <v>42683</v>
      </c>
      <c r="B1832" s="115" t="s">
        <v>127</v>
      </c>
      <c r="D1832" s="194" t="s">
        <v>181</v>
      </c>
      <c r="E1832" s="73">
        <v>351215</v>
      </c>
      <c r="F1832" s="121"/>
      <c r="G1832" s="122">
        <v>90.3</v>
      </c>
      <c r="H1832" s="117">
        <v>2502917</v>
      </c>
      <c r="J1832" s="196" t="s">
        <v>182</v>
      </c>
    </row>
    <row r="1833" spans="1:10" x14ac:dyDescent="0.2">
      <c r="A1833" s="119">
        <v>42684</v>
      </c>
      <c r="B1833" s="115" t="s">
        <v>127</v>
      </c>
      <c r="D1833" s="194" t="s">
        <v>181</v>
      </c>
      <c r="E1833" s="73">
        <v>351215</v>
      </c>
      <c r="F1833" s="121"/>
      <c r="G1833" s="122">
        <v>88</v>
      </c>
      <c r="H1833" s="117">
        <v>2513518</v>
      </c>
      <c r="J1833" s="196" t="s">
        <v>182</v>
      </c>
    </row>
    <row r="1834" spans="1:10" x14ac:dyDescent="0.2">
      <c r="A1834" s="119">
        <v>42684</v>
      </c>
      <c r="B1834" s="115" t="s">
        <v>127</v>
      </c>
      <c r="D1834" s="194" t="s">
        <v>181</v>
      </c>
      <c r="E1834" s="73">
        <v>351215</v>
      </c>
      <c r="F1834" s="121"/>
      <c r="G1834" s="122">
        <v>98</v>
      </c>
      <c r="H1834" s="117">
        <v>2513537</v>
      </c>
      <c r="J1834" s="196" t="s">
        <v>182</v>
      </c>
    </row>
    <row r="1835" spans="1:10" x14ac:dyDescent="0.2">
      <c r="A1835" s="119">
        <v>42684</v>
      </c>
      <c r="B1835" s="115" t="s">
        <v>127</v>
      </c>
      <c r="D1835" s="194" t="s">
        <v>181</v>
      </c>
      <c r="E1835" s="73">
        <v>351215</v>
      </c>
      <c r="F1835" s="121"/>
      <c r="G1835" s="122">
        <v>93.28</v>
      </c>
      <c r="H1835" s="117">
        <v>2510322</v>
      </c>
      <c r="J1835" s="196" t="s">
        <v>182</v>
      </c>
    </row>
    <row r="1836" spans="1:10" x14ac:dyDescent="0.2">
      <c r="A1836" s="119">
        <v>42685</v>
      </c>
      <c r="B1836" s="115" t="s">
        <v>127</v>
      </c>
      <c r="D1836" s="194" t="s">
        <v>181</v>
      </c>
      <c r="E1836" s="73">
        <v>351215</v>
      </c>
      <c r="F1836" s="121"/>
      <c r="G1836" s="122">
        <v>130.54</v>
      </c>
      <c r="H1836" s="117">
        <v>2517142</v>
      </c>
      <c r="J1836" s="196" t="s">
        <v>182</v>
      </c>
    </row>
    <row r="1837" spans="1:10" x14ac:dyDescent="0.2">
      <c r="A1837" s="119">
        <v>42685</v>
      </c>
      <c r="B1837" s="115" t="s">
        <v>127</v>
      </c>
      <c r="D1837" s="194" t="s">
        <v>181</v>
      </c>
      <c r="E1837" s="73">
        <v>351215</v>
      </c>
      <c r="F1837" s="121"/>
      <c r="G1837" s="122">
        <v>51</v>
      </c>
      <c r="H1837" s="117">
        <v>2518196</v>
      </c>
      <c r="J1837" s="196" t="s">
        <v>182</v>
      </c>
    </row>
    <row r="1838" spans="1:10" x14ac:dyDescent="0.2">
      <c r="A1838" s="119">
        <v>42685</v>
      </c>
      <c r="B1838" s="115" t="s">
        <v>127</v>
      </c>
      <c r="D1838" s="194" t="s">
        <v>181</v>
      </c>
      <c r="E1838" s="73">
        <v>351215</v>
      </c>
      <c r="F1838" s="121"/>
      <c r="G1838" s="122">
        <v>65.239999999999995</v>
      </c>
      <c r="H1838" s="117">
        <v>2514487</v>
      </c>
      <c r="J1838" s="196" t="s">
        <v>182</v>
      </c>
    </row>
    <row r="1839" spans="1:10" s="203" customFormat="1" x14ac:dyDescent="0.2">
      <c r="A1839" s="221">
        <v>42684</v>
      </c>
      <c r="B1839" s="216" t="s">
        <v>127</v>
      </c>
      <c r="C1839" s="203" t="s">
        <v>151</v>
      </c>
      <c r="D1839" s="299" t="s">
        <v>183</v>
      </c>
      <c r="E1839" s="74">
        <v>220501</v>
      </c>
      <c r="F1839" s="217"/>
      <c r="G1839" s="218">
        <f>67.04+273.02</f>
        <v>340.06</v>
      </c>
      <c r="H1839" s="203" t="s">
        <v>190</v>
      </c>
      <c r="J1839" s="302" t="s">
        <v>246</v>
      </c>
    </row>
    <row r="1840" spans="1:10" s="203" customFormat="1" x14ac:dyDescent="0.2">
      <c r="A1840" s="221">
        <v>42685</v>
      </c>
      <c r="B1840" s="216" t="s">
        <v>127</v>
      </c>
      <c r="C1840" s="203" t="s">
        <v>151</v>
      </c>
      <c r="D1840" s="299" t="s">
        <v>183</v>
      </c>
      <c r="E1840" s="74">
        <v>220501</v>
      </c>
      <c r="F1840" s="217"/>
      <c r="G1840" s="218">
        <f>11.56+111.71</f>
        <v>123.27</v>
      </c>
      <c r="H1840" s="203">
        <v>2500845</v>
      </c>
      <c r="J1840" s="302" t="s">
        <v>246</v>
      </c>
    </row>
    <row r="1841" spans="1:10" x14ac:dyDescent="0.2">
      <c r="A1841" s="119">
        <v>42685</v>
      </c>
      <c r="B1841" s="115" t="s">
        <v>127</v>
      </c>
      <c r="D1841" s="194" t="s">
        <v>192</v>
      </c>
      <c r="E1841" s="73">
        <v>223720</v>
      </c>
      <c r="F1841" s="121"/>
      <c r="G1841" s="122">
        <f>49.34+25.33</f>
        <v>74.67</v>
      </c>
      <c r="H1841" s="117">
        <v>2511111</v>
      </c>
      <c r="J1841" s="196" t="s">
        <v>191</v>
      </c>
    </row>
    <row r="1842" spans="1:10" x14ac:dyDescent="0.2">
      <c r="A1842" s="119">
        <v>42685</v>
      </c>
      <c r="B1842" s="115" t="s">
        <v>127</v>
      </c>
      <c r="D1842" s="194" t="s">
        <v>193</v>
      </c>
      <c r="E1842" s="73">
        <v>226743</v>
      </c>
      <c r="F1842" s="121"/>
      <c r="G1842" s="122">
        <f>39.26+3.69</f>
        <v>42.949999999999996</v>
      </c>
      <c r="H1842" s="117">
        <v>2516185</v>
      </c>
      <c r="J1842" s="196" t="s">
        <v>194</v>
      </c>
    </row>
    <row r="1843" spans="1:10" s="203" customFormat="1" x14ac:dyDescent="0.2">
      <c r="A1843" s="221" t="s">
        <v>265</v>
      </c>
      <c r="B1843" s="216" t="s">
        <v>0</v>
      </c>
      <c r="C1843" s="203" t="s">
        <v>238</v>
      </c>
      <c r="D1843" s="299" t="s">
        <v>1921</v>
      </c>
      <c r="E1843" s="74">
        <v>212937</v>
      </c>
      <c r="F1843" s="217" t="s">
        <v>1922</v>
      </c>
      <c r="G1843" s="218">
        <v>70.5</v>
      </c>
      <c r="J1843" s="302" t="s">
        <v>246</v>
      </c>
    </row>
    <row r="1844" spans="1:10" x14ac:dyDescent="0.2">
      <c r="A1844" s="119" t="s">
        <v>265</v>
      </c>
      <c r="B1844" s="115" t="s">
        <v>0</v>
      </c>
      <c r="D1844" s="194" t="s">
        <v>195</v>
      </c>
      <c r="E1844" s="73">
        <v>352746</v>
      </c>
      <c r="F1844" s="121"/>
      <c r="G1844" s="122">
        <v>-64</v>
      </c>
      <c r="J1844" s="196" t="s">
        <v>196</v>
      </c>
    </row>
    <row r="1845" spans="1:10" s="203" customFormat="1" x14ac:dyDescent="0.2">
      <c r="A1845" s="221" t="s">
        <v>265</v>
      </c>
      <c r="B1845" s="216" t="s">
        <v>0</v>
      </c>
      <c r="C1845" s="203" t="s">
        <v>238</v>
      </c>
      <c r="D1845" s="299" t="s">
        <v>1923</v>
      </c>
      <c r="E1845" s="74">
        <v>352650</v>
      </c>
      <c r="F1845" s="217" t="s">
        <v>1924</v>
      </c>
      <c r="G1845" s="218">
        <v>73.95</v>
      </c>
      <c r="J1845" s="302" t="s">
        <v>246</v>
      </c>
    </row>
    <row r="1846" spans="1:10" x14ac:dyDescent="0.2">
      <c r="A1846" s="119">
        <v>42688.279606481483</v>
      </c>
      <c r="B1846" s="115" t="s">
        <v>127</v>
      </c>
      <c r="D1846" s="194" t="s">
        <v>181</v>
      </c>
      <c r="E1846" s="73">
        <v>2524612</v>
      </c>
      <c r="F1846" s="121"/>
      <c r="G1846" s="122">
        <v>67.28</v>
      </c>
      <c r="J1846" s="196" t="s">
        <v>182</v>
      </c>
    </row>
    <row r="1847" spans="1:10" x14ac:dyDescent="0.2">
      <c r="A1847" s="119">
        <v>42688.505532407406</v>
      </c>
      <c r="B1847" s="115" t="s">
        <v>127</v>
      </c>
      <c r="D1847" s="194" t="s">
        <v>181</v>
      </c>
      <c r="E1847" s="73">
        <v>2522892</v>
      </c>
      <c r="F1847" s="121"/>
      <c r="G1847" s="122">
        <v>181.58</v>
      </c>
      <c r="J1847" s="196" t="s">
        <v>182</v>
      </c>
    </row>
    <row r="1848" spans="1:10" x14ac:dyDescent="0.2">
      <c r="A1848" s="119">
        <v>42689.049166666664</v>
      </c>
      <c r="B1848" s="115" t="s">
        <v>127</v>
      </c>
      <c r="D1848" s="194" t="s">
        <v>181</v>
      </c>
      <c r="E1848" s="73">
        <v>2527894</v>
      </c>
      <c r="F1848" s="121"/>
      <c r="G1848" s="122">
        <v>45.9</v>
      </c>
      <c r="J1848" s="196" t="s">
        <v>182</v>
      </c>
    </row>
    <row r="1849" spans="1:10" x14ac:dyDescent="0.2">
      <c r="A1849" s="119">
        <v>42689.18241898148</v>
      </c>
      <c r="B1849" s="115" t="s">
        <v>127</v>
      </c>
      <c r="D1849" s="194" t="s">
        <v>181</v>
      </c>
      <c r="E1849" s="73">
        <v>2524173</v>
      </c>
      <c r="F1849" s="121"/>
      <c r="G1849" s="122">
        <v>48</v>
      </c>
      <c r="J1849" s="196" t="s">
        <v>182</v>
      </c>
    </row>
    <row r="1850" spans="1:10" x14ac:dyDescent="0.2">
      <c r="A1850" s="119">
        <v>42690.456747685188</v>
      </c>
      <c r="B1850" s="115" t="s">
        <v>127</v>
      </c>
      <c r="D1850" s="194" t="s">
        <v>181</v>
      </c>
      <c r="E1850" s="73">
        <v>2529465</v>
      </c>
      <c r="F1850" s="121"/>
      <c r="G1850" s="122">
        <v>132.99</v>
      </c>
      <c r="J1850" s="196" t="s">
        <v>182</v>
      </c>
    </row>
    <row r="1851" spans="1:10" x14ac:dyDescent="0.2">
      <c r="A1851" s="119">
        <v>42691.189756944441</v>
      </c>
      <c r="B1851" s="115" t="s">
        <v>127</v>
      </c>
      <c r="D1851" s="194" t="s">
        <v>181</v>
      </c>
      <c r="E1851" s="73">
        <v>2532619</v>
      </c>
      <c r="F1851" s="121"/>
      <c r="G1851" s="122">
        <v>20.63</v>
      </c>
      <c r="J1851" s="196" t="s">
        <v>182</v>
      </c>
    </row>
    <row r="1852" spans="1:10" x14ac:dyDescent="0.2">
      <c r="A1852" s="119">
        <v>42691.321736111109</v>
      </c>
      <c r="B1852" s="115" t="s">
        <v>127</v>
      </c>
      <c r="D1852" s="194" t="s">
        <v>181</v>
      </c>
      <c r="E1852" s="73">
        <v>2288492</v>
      </c>
      <c r="F1852" s="121"/>
      <c r="G1852" s="122">
        <v>-109</v>
      </c>
      <c r="J1852" s="196" t="s">
        <v>182</v>
      </c>
    </row>
    <row r="1853" spans="1:10" x14ac:dyDescent="0.2">
      <c r="A1853" s="119">
        <v>42692.144606481481</v>
      </c>
      <c r="B1853" s="115" t="s">
        <v>127</v>
      </c>
      <c r="D1853" s="194" t="s">
        <v>181</v>
      </c>
      <c r="E1853" s="73">
        <v>2536833</v>
      </c>
      <c r="F1853" s="121"/>
      <c r="G1853" s="122">
        <v>45</v>
      </c>
      <c r="J1853" s="196" t="s">
        <v>182</v>
      </c>
    </row>
    <row r="1854" spans="1:10" x14ac:dyDescent="0.2">
      <c r="A1854" s="119">
        <v>42692.150462962964</v>
      </c>
      <c r="B1854" s="115" t="s">
        <v>127</v>
      </c>
      <c r="D1854" s="194" t="s">
        <v>181</v>
      </c>
      <c r="E1854" s="73">
        <v>2537285</v>
      </c>
      <c r="F1854" s="121"/>
      <c r="G1854" s="122">
        <v>56.71</v>
      </c>
      <c r="J1854" s="196" t="s">
        <v>182</v>
      </c>
    </row>
    <row r="1855" spans="1:10" x14ac:dyDescent="0.2">
      <c r="A1855" s="119" t="s">
        <v>197</v>
      </c>
      <c r="B1855" s="115" t="s">
        <v>0</v>
      </c>
      <c r="D1855" s="194">
        <v>376273761993</v>
      </c>
      <c r="E1855" s="73">
        <v>352558</v>
      </c>
      <c r="F1855" s="121"/>
      <c r="G1855" s="122">
        <v>69.95</v>
      </c>
      <c r="J1855" s="196" t="s">
        <v>124</v>
      </c>
    </row>
    <row r="1856" spans="1:10" x14ac:dyDescent="0.2">
      <c r="A1856" s="119" t="s">
        <v>197</v>
      </c>
      <c r="B1856" s="115" t="s">
        <v>0</v>
      </c>
      <c r="D1856" s="194">
        <v>376219646990</v>
      </c>
      <c r="E1856" s="73">
        <v>224974</v>
      </c>
      <c r="F1856" s="121"/>
      <c r="G1856" s="122">
        <v>79.91</v>
      </c>
      <c r="J1856" s="196" t="s">
        <v>124</v>
      </c>
    </row>
    <row r="1857" spans="1:19" s="203" customFormat="1" x14ac:dyDescent="0.2">
      <c r="A1857" s="221" t="s">
        <v>197</v>
      </c>
      <c r="B1857" s="216" t="s">
        <v>0</v>
      </c>
      <c r="C1857" s="203" t="s">
        <v>209</v>
      </c>
      <c r="D1857" s="299">
        <v>376208193999</v>
      </c>
      <c r="E1857" s="74">
        <v>201287</v>
      </c>
      <c r="F1857" s="217"/>
      <c r="G1857" s="218">
        <v>117.95</v>
      </c>
      <c r="J1857" s="302" t="s">
        <v>246</v>
      </c>
    </row>
    <row r="1858" spans="1:19" x14ac:dyDescent="0.2">
      <c r="A1858" s="119">
        <v>42694</v>
      </c>
      <c r="B1858" s="115" t="s">
        <v>127</v>
      </c>
      <c r="D1858" s="194" t="s">
        <v>181</v>
      </c>
      <c r="E1858" s="73">
        <v>351215</v>
      </c>
      <c r="F1858" s="121"/>
      <c r="G1858" s="122">
        <v>49</v>
      </c>
      <c r="H1858" s="117" t="s">
        <v>198</v>
      </c>
      <c r="J1858" s="196" t="s">
        <v>182</v>
      </c>
    </row>
    <row r="1859" spans="1:19" x14ac:dyDescent="0.2">
      <c r="A1859" s="119">
        <v>42695</v>
      </c>
      <c r="B1859" s="115" t="s">
        <v>127</v>
      </c>
      <c r="D1859" s="194">
        <v>376270713997</v>
      </c>
      <c r="E1859" s="73">
        <v>351215</v>
      </c>
      <c r="F1859" s="121"/>
      <c r="G1859" s="122">
        <v>73.400000000000006</v>
      </c>
      <c r="H1859" s="117">
        <v>2544668</v>
      </c>
      <c r="J1859" s="196" t="s">
        <v>182</v>
      </c>
    </row>
    <row r="1860" spans="1:19" x14ac:dyDescent="0.2">
      <c r="A1860" s="119">
        <v>42696</v>
      </c>
      <c r="B1860" s="115" t="s">
        <v>127</v>
      </c>
      <c r="D1860" s="194">
        <v>376270713997</v>
      </c>
      <c r="E1860" s="73">
        <v>351215</v>
      </c>
      <c r="F1860" s="121"/>
      <c r="G1860" s="122">
        <v>57.24</v>
      </c>
      <c r="H1860" s="117">
        <v>2545900</v>
      </c>
      <c r="J1860" s="196" t="s">
        <v>182</v>
      </c>
    </row>
    <row r="1861" spans="1:19" x14ac:dyDescent="0.2">
      <c r="A1861" s="119">
        <v>42696</v>
      </c>
      <c r="B1861" s="115" t="s">
        <v>127</v>
      </c>
      <c r="D1861" s="194">
        <v>376270713997</v>
      </c>
      <c r="E1861" s="73">
        <v>351215</v>
      </c>
      <c r="F1861" s="121"/>
      <c r="G1861" s="122">
        <v>125.08</v>
      </c>
      <c r="H1861" s="117">
        <v>2545831</v>
      </c>
      <c r="J1861" s="196" t="s">
        <v>182</v>
      </c>
    </row>
    <row r="1862" spans="1:19" x14ac:dyDescent="0.2">
      <c r="A1862" s="119">
        <v>42696</v>
      </c>
      <c r="B1862" s="115" t="s">
        <v>127</v>
      </c>
      <c r="D1862" s="194">
        <v>376270713997</v>
      </c>
      <c r="E1862" s="73">
        <v>351215</v>
      </c>
      <c r="F1862" s="121"/>
      <c r="G1862" s="122">
        <v>48</v>
      </c>
      <c r="H1862" s="117">
        <v>2547814</v>
      </c>
      <c r="J1862" s="196" t="s">
        <v>182</v>
      </c>
    </row>
    <row r="1863" spans="1:19" x14ac:dyDescent="0.2">
      <c r="A1863" s="119">
        <v>42697</v>
      </c>
      <c r="B1863" s="115" t="s">
        <v>127</v>
      </c>
      <c r="D1863" s="194">
        <v>376270713997</v>
      </c>
      <c r="E1863" s="73">
        <v>351215</v>
      </c>
      <c r="F1863" s="121"/>
      <c r="G1863" s="122">
        <v>123.2</v>
      </c>
      <c r="H1863" s="117">
        <v>2554482</v>
      </c>
      <c r="J1863" s="196" t="s">
        <v>182</v>
      </c>
    </row>
    <row r="1864" spans="1:19" x14ac:dyDescent="0.2">
      <c r="A1864" s="119">
        <v>42697</v>
      </c>
      <c r="B1864" s="115" t="s">
        <v>127</v>
      </c>
      <c r="D1864" s="194">
        <v>376270713997</v>
      </c>
      <c r="E1864" s="73">
        <v>351215</v>
      </c>
      <c r="F1864" s="121"/>
      <c r="G1864" s="122">
        <v>78.14</v>
      </c>
      <c r="H1864" s="117">
        <v>2540489</v>
      </c>
      <c r="J1864" s="196" t="s">
        <v>182</v>
      </c>
    </row>
    <row r="1865" spans="1:19" x14ac:dyDescent="0.2">
      <c r="A1865" s="119">
        <v>42697</v>
      </c>
      <c r="B1865" s="115" t="s">
        <v>127</v>
      </c>
      <c r="D1865" s="194">
        <v>376270713997</v>
      </c>
      <c r="E1865" s="73">
        <v>351215</v>
      </c>
      <c r="F1865" s="121"/>
      <c r="G1865" s="122">
        <v>20.65</v>
      </c>
      <c r="H1865" s="117">
        <v>2552052</v>
      </c>
      <c r="J1865" s="196" t="s">
        <v>182</v>
      </c>
    </row>
    <row r="1866" spans="1:19" x14ac:dyDescent="0.2">
      <c r="A1866" s="119">
        <v>42696</v>
      </c>
      <c r="B1866" s="115" t="s">
        <v>127</v>
      </c>
      <c r="D1866" s="194">
        <v>376274997992</v>
      </c>
      <c r="E1866" s="73">
        <v>353154</v>
      </c>
      <c r="F1866" s="121"/>
      <c r="G1866" s="122">
        <f>12+40.5</f>
        <v>52.5</v>
      </c>
      <c r="H1866" s="117" t="s">
        <v>199</v>
      </c>
      <c r="J1866" s="196" t="s">
        <v>200</v>
      </c>
    </row>
    <row r="1867" spans="1:19" x14ac:dyDescent="0.2">
      <c r="A1867" s="119" t="s">
        <v>1958</v>
      </c>
      <c r="B1867" s="115" t="s">
        <v>0</v>
      </c>
      <c r="D1867" s="194" t="s">
        <v>201</v>
      </c>
      <c r="E1867" s="73">
        <v>350462</v>
      </c>
      <c r="F1867" s="121"/>
      <c r="G1867" s="122">
        <v>68.95</v>
      </c>
      <c r="J1867" s="196" t="s">
        <v>1925</v>
      </c>
    </row>
    <row r="1868" spans="1:19" x14ac:dyDescent="0.2">
      <c r="A1868" s="119" t="s">
        <v>1958</v>
      </c>
      <c r="B1868" s="115" t="s">
        <v>0</v>
      </c>
      <c r="D1868" s="194" t="s">
        <v>202</v>
      </c>
      <c r="E1868" s="73">
        <v>350412</v>
      </c>
      <c r="F1868" s="121"/>
      <c r="G1868" s="122">
        <v>104.41</v>
      </c>
      <c r="J1868" s="196" t="s">
        <v>1926</v>
      </c>
    </row>
    <row r="1869" spans="1:19" x14ac:dyDescent="0.2">
      <c r="A1869" s="119" t="s">
        <v>1958</v>
      </c>
      <c r="B1869" s="115" t="s">
        <v>0</v>
      </c>
      <c r="D1869" s="194" t="s">
        <v>203</v>
      </c>
      <c r="E1869" s="73">
        <v>352217</v>
      </c>
      <c r="F1869" s="121"/>
      <c r="G1869" s="122">
        <v>48.35</v>
      </c>
      <c r="J1869" s="196" t="s">
        <v>1927</v>
      </c>
    </row>
    <row r="1870" spans="1:19" x14ac:dyDescent="0.2">
      <c r="A1870" s="119" t="s">
        <v>1958</v>
      </c>
      <c r="B1870" s="115" t="s">
        <v>0</v>
      </c>
      <c r="D1870" s="194" t="s">
        <v>204</v>
      </c>
      <c r="E1870" s="73">
        <v>226638</v>
      </c>
      <c r="F1870" s="121"/>
      <c r="G1870" s="122">
        <v>67.95</v>
      </c>
      <c r="J1870" s="196" t="s">
        <v>205</v>
      </c>
    </row>
    <row r="1871" spans="1:19" s="12" customFormat="1" ht="15" x14ac:dyDescent="0.25">
      <c r="A1871" s="103" t="s">
        <v>245</v>
      </c>
      <c r="B1871" s="19" t="s">
        <v>0</v>
      </c>
      <c r="C1871" s="19" t="s">
        <v>2163</v>
      </c>
      <c r="D1871" s="9" t="s">
        <v>218</v>
      </c>
      <c r="E1871" s="29">
        <v>351245</v>
      </c>
      <c r="F1871" s="33" t="s">
        <v>217</v>
      </c>
      <c r="G1871" s="36">
        <v>26.41</v>
      </c>
      <c r="H1871" s="19"/>
      <c r="I1871" s="15"/>
      <c r="J1871" s="28" t="s">
        <v>124</v>
      </c>
      <c r="K1871" s="15"/>
      <c r="L1871" s="15"/>
      <c r="M1871" s="15"/>
      <c r="N1871" s="15"/>
      <c r="O1871" s="15"/>
      <c r="P1871" s="15"/>
      <c r="Q1871" s="15"/>
      <c r="R1871" s="15"/>
      <c r="S1871" s="15"/>
    </row>
    <row r="1872" spans="1:19" s="12" customFormat="1" ht="15" x14ac:dyDescent="0.25">
      <c r="A1872" s="103" t="s">
        <v>245</v>
      </c>
      <c r="B1872" s="19" t="s">
        <v>0</v>
      </c>
      <c r="C1872" s="19" t="s">
        <v>2163</v>
      </c>
      <c r="D1872" s="9" t="s">
        <v>219</v>
      </c>
      <c r="E1872" s="29">
        <v>351177</v>
      </c>
      <c r="F1872" s="33" t="s">
        <v>220</v>
      </c>
      <c r="G1872" s="36">
        <v>47.98</v>
      </c>
      <c r="H1872" s="19"/>
      <c r="I1872" s="15"/>
      <c r="J1872" s="28" t="s">
        <v>124</v>
      </c>
      <c r="K1872" s="15"/>
      <c r="L1872" s="15"/>
      <c r="M1872" s="15"/>
      <c r="N1872" s="15"/>
      <c r="O1872" s="15"/>
      <c r="P1872" s="15"/>
      <c r="Q1872" s="15"/>
      <c r="R1872" s="15"/>
      <c r="S1872" s="15"/>
    </row>
    <row r="1873" spans="1:19" s="12" customFormat="1" ht="15" x14ac:dyDescent="0.25">
      <c r="A1873" s="103" t="s">
        <v>245</v>
      </c>
      <c r="B1873" s="19" t="s">
        <v>0</v>
      </c>
      <c r="C1873" s="19" t="s">
        <v>2163</v>
      </c>
      <c r="D1873" s="9" t="s">
        <v>222</v>
      </c>
      <c r="E1873" s="29">
        <v>350252</v>
      </c>
      <c r="F1873" s="33" t="s">
        <v>221</v>
      </c>
      <c r="G1873" s="36">
        <v>82.9</v>
      </c>
      <c r="H1873" s="19"/>
      <c r="I1873" s="15"/>
      <c r="J1873" s="28" t="s">
        <v>124</v>
      </c>
      <c r="K1873" s="15"/>
      <c r="L1873" s="15"/>
      <c r="M1873" s="15"/>
      <c r="N1873" s="15"/>
      <c r="O1873" s="15"/>
      <c r="P1873" s="15"/>
      <c r="Q1873" s="15"/>
      <c r="R1873" s="15"/>
      <c r="S1873" s="15"/>
    </row>
    <row r="1874" spans="1:19" s="12" customFormat="1" ht="15" x14ac:dyDescent="0.25">
      <c r="A1874" s="103" t="s">
        <v>245</v>
      </c>
      <c r="B1874" s="19" t="s">
        <v>0</v>
      </c>
      <c r="C1874" s="19" t="s">
        <v>2163</v>
      </c>
      <c r="D1874" s="9">
        <v>376274154990</v>
      </c>
      <c r="E1874" s="29">
        <v>352662</v>
      </c>
      <c r="F1874" s="33" t="s">
        <v>224</v>
      </c>
      <c r="G1874" s="36">
        <v>71.55</v>
      </c>
      <c r="H1874" s="19"/>
      <c r="I1874" s="15"/>
      <c r="J1874" s="28" t="s">
        <v>124</v>
      </c>
      <c r="K1874" s="15"/>
      <c r="L1874" s="15"/>
      <c r="M1874" s="15"/>
      <c r="N1874" s="15"/>
      <c r="O1874" s="15"/>
      <c r="P1874" s="15"/>
      <c r="Q1874" s="15"/>
      <c r="R1874" s="15"/>
      <c r="S1874" s="15"/>
    </row>
    <row r="1875" spans="1:19" s="12" customFormat="1" ht="15" x14ac:dyDescent="0.25">
      <c r="A1875" s="103" t="s">
        <v>245</v>
      </c>
      <c r="B1875" s="19" t="s">
        <v>0</v>
      </c>
      <c r="C1875" s="19" t="s">
        <v>2163</v>
      </c>
      <c r="D1875" s="9" t="s">
        <v>223</v>
      </c>
      <c r="E1875" s="29">
        <v>350622</v>
      </c>
      <c r="F1875" s="33" t="s">
        <v>225</v>
      </c>
      <c r="G1875" s="36">
        <v>89.95</v>
      </c>
      <c r="H1875" s="19"/>
      <c r="I1875" s="15"/>
      <c r="J1875" s="28" t="s">
        <v>124</v>
      </c>
      <c r="K1875" s="15"/>
      <c r="L1875" s="15"/>
      <c r="M1875" s="15"/>
      <c r="N1875" s="15"/>
      <c r="O1875" s="15"/>
      <c r="P1875" s="15"/>
      <c r="Q1875" s="15"/>
      <c r="R1875" s="15"/>
      <c r="S1875" s="15"/>
    </row>
    <row r="1876" spans="1:19" s="12" customFormat="1" ht="15" x14ac:dyDescent="0.25">
      <c r="A1876" s="103" t="s">
        <v>245</v>
      </c>
      <c r="B1876" s="19" t="s">
        <v>0</v>
      </c>
      <c r="C1876" s="19" t="s">
        <v>2163</v>
      </c>
      <c r="D1876" s="9">
        <v>376259517997</v>
      </c>
      <c r="E1876" s="29">
        <v>213906</v>
      </c>
      <c r="F1876" s="33" t="s">
        <v>226</v>
      </c>
      <c r="G1876" s="36">
        <v>160.35</v>
      </c>
      <c r="H1876" s="19"/>
      <c r="I1876" s="15"/>
      <c r="J1876" s="28" t="s">
        <v>124</v>
      </c>
      <c r="K1876" s="15"/>
      <c r="L1876" s="15"/>
      <c r="M1876" s="15"/>
      <c r="N1876" s="15"/>
      <c r="O1876" s="15"/>
      <c r="P1876" s="15"/>
      <c r="Q1876" s="15"/>
      <c r="R1876" s="15"/>
      <c r="S1876" s="15"/>
    </row>
    <row r="1877" spans="1:19" s="12" customFormat="1" ht="15" x14ac:dyDescent="0.25">
      <c r="A1877" s="103" t="s">
        <v>245</v>
      </c>
      <c r="B1877" s="19" t="s">
        <v>0</v>
      </c>
      <c r="C1877" s="19" t="s">
        <v>2163</v>
      </c>
      <c r="D1877" s="9">
        <v>376270273992</v>
      </c>
      <c r="E1877" s="29">
        <v>351090</v>
      </c>
      <c r="F1877" s="33" t="s">
        <v>227</v>
      </c>
      <c r="G1877" s="36">
        <v>259.89999999999998</v>
      </c>
      <c r="H1877" s="19"/>
      <c r="I1877" s="15"/>
      <c r="J1877" s="28" t="s">
        <v>124</v>
      </c>
      <c r="K1877" s="15"/>
      <c r="L1877" s="15"/>
      <c r="M1877" s="15"/>
      <c r="N1877" s="15"/>
      <c r="O1877" s="15"/>
      <c r="P1877" s="15"/>
      <c r="Q1877" s="15"/>
      <c r="R1877" s="15"/>
      <c r="S1877" s="15"/>
    </row>
    <row r="1878" spans="1:19" x14ac:dyDescent="0.2">
      <c r="A1878" s="213">
        <v>42705</v>
      </c>
      <c r="B1878" s="115" t="s">
        <v>127</v>
      </c>
      <c r="D1878" s="194" t="s">
        <v>184</v>
      </c>
      <c r="E1878" s="73">
        <v>226274</v>
      </c>
      <c r="F1878" s="121"/>
      <c r="G1878" s="122">
        <f>54.04+151.17</f>
        <v>205.20999999999998</v>
      </c>
      <c r="H1878" s="117">
        <v>2515012</v>
      </c>
      <c r="J1878" s="196" t="s">
        <v>179</v>
      </c>
    </row>
    <row r="1879" spans="1:19" x14ac:dyDescent="0.2">
      <c r="A1879" s="213">
        <v>42706</v>
      </c>
      <c r="B1879" s="115" t="s">
        <v>127</v>
      </c>
      <c r="D1879" s="194" t="s">
        <v>192</v>
      </c>
      <c r="E1879" s="73">
        <v>223720</v>
      </c>
      <c r="F1879" s="121"/>
      <c r="G1879" s="122">
        <f>9.1+59.82</f>
        <v>68.92</v>
      </c>
      <c r="H1879" s="117">
        <v>2579669</v>
      </c>
      <c r="J1879" s="196" t="s">
        <v>179</v>
      </c>
    </row>
    <row r="1880" spans="1:19" x14ac:dyDescent="0.2">
      <c r="A1880" s="213">
        <v>42705</v>
      </c>
      <c r="B1880" s="115" t="s">
        <v>127</v>
      </c>
      <c r="D1880" s="194" t="s">
        <v>181</v>
      </c>
      <c r="E1880" s="73">
        <v>351215</v>
      </c>
      <c r="F1880" s="121"/>
      <c r="G1880" s="122">
        <v>62.96</v>
      </c>
      <c r="H1880" s="117">
        <v>2572461</v>
      </c>
      <c r="J1880" s="196" t="s">
        <v>206</v>
      </c>
    </row>
    <row r="1881" spans="1:19" x14ac:dyDescent="0.2">
      <c r="A1881" s="213">
        <v>42705</v>
      </c>
      <c r="B1881" s="115" t="s">
        <v>127</v>
      </c>
      <c r="D1881" s="194" t="s">
        <v>181</v>
      </c>
      <c r="E1881" s="73">
        <v>351215</v>
      </c>
      <c r="F1881" s="121"/>
      <c r="G1881" s="122">
        <v>192.34</v>
      </c>
      <c r="H1881" s="117">
        <v>2567709</v>
      </c>
      <c r="J1881" s="196" t="s">
        <v>206</v>
      </c>
    </row>
    <row r="1882" spans="1:19" x14ac:dyDescent="0.2">
      <c r="A1882" s="213">
        <v>42705</v>
      </c>
      <c r="B1882" s="115" t="s">
        <v>127</v>
      </c>
      <c r="D1882" s="194" t="s">
        <v>181</v>
      </c>
      <c r="E1882" s="73">
        <v>351215</v>
      </c>
      <c r="F1882" s="121"/>
      <c r="G1882" s="122">
        <v>203.95</v>
      </c>
      <c r="H1882" s="117">
        <v>2571435</v>
      </c>
      <c r="J1882" s="196" t="s">
        <v>206</v>
      </c>
    </row>
    <row r="1883" spans="1:19" x14ac:dyDescent="0.2">
      <c r="A1883" s="213">
        <v>42706</v>
      </c>
      <c r="B1883" s="115" t="s">
        <v>127</v>
      </c>
      <c r="D1883" s="194" t="s">
        <v>181</v>
      </c>
      <c r="E1883" s="73">
        <v>351215</v>
      </c>
      <c r="F1883" s="121"/>
      <c r="G1883" s="122">
        <v>98</v>
      </c>
      <c r="H1883" s="117">
        <v>2582163</v>
      </c>
      <c r="J1883" s="196" t="s">
        <v>206</v>
      </c>
    </row>
    <row r="1884" spans="1:19" x14ac:dyDescent="0.2">
      <c r="A1884" s="213">
        <v>42706</v>
      </c>
      <c r="B1884" s="115" t="s">
        <v>127</v>
      </c>
      <c r="D1884" s="194" t="s">
        <v>181</v>
      </c>
      <c r="E1884" s="73">
        <v>351215</v>
      </c>
      <c r="F1884" s="121"/>
      <c r="G1884" s="122">
        <v>56.98</v>
      </c>
      <c r="H1884" s="117">
        <v>2581163</v>
      </c>
      <c r="J1884" s="196" t="s">
        <v>206</v>
      </c>
    </row>
    <row r="1885" spans="1:19" x14ac:dyDescent="0.2">
      <c r="A1885" s="213">
        <v>42706</v>
      </c>
      <c r="B1885" s="115" t="s">
        <v>127</v>
      </c>
      <c r="D1885" s="194" t="s">
        <v>181</v>
      </c>
      <c r="E1885" s="73">
        <v>351215</v>
      </c>
      <c r="F1885" s="121"/>
      <c r="G1885" s="122">
        <v>236</v>
      </c>
      <c r="H1885" s="117">
        <v>2581504</v>
      </c>
      <c r="J1885" s="196" t="s">
        <v>206</v>
      </c>
    </row>
    <row r="1886" spans="1:19" s="12" customFormat="1" ht="15" x14ac:dyDescent="0.25">
      <c r="A1886" s="44">
        <v>42708</v>
      </c>
      <c r="B1886" s="29" t="s">
        <v>127</v>
      </c>
      <c r="D1886" s="60">
        <v>376270713997</v>
      </c>
      <c r="E1886" s="76">
        <v>351215</v>
      </c>
      <c r="G1886" s="93">
        <v>77.900000000000006</v>
      </c>
      <c r="H1886" s="83">
        <v>2579188</v>
      </c>
      <c r="J1886" s="106" t="s">
        <v>273</v>
      </c>
      <c r="K1886" s="45"/>
      <c r="L1886" s="45"/>
    </row>
    <row r="1887" spans="1:19" s="12" customFormat="1" ht="15" x14ac:dyDescent="0.25">
      <c r="A1887" s="44">
        <v>42708</v>
      </c>
      <c r="B1887" s="29" t="s">
        <v>127</v>
      </c>
      <c r="D1887" s="60">
        <v>376270713997</v>
      </c>
      <c r="E1887" s="76">
        <v>351215</v>
      </c>
      <c r="G1887" s="93">
        <v>112</v>
      </c>
      <c r="H1887" s="83">
        <v>2583421</v>
      </c>
      <c r="J1887" s="106" t="s">
        <v>273</v>
      </c>
      <c r="K1887" s="45"/>
      <c r="L1887" s="45"/>
    </row>
    <row r="1888" spans="1:19" s="12" customFormat="1" ht="15" x14ac:dyDescent="0.25">
      <c r="A1888" s="44">
        <v>42709</v>
      </c>
      <c r="B1888" s="29" t="s">
        <v>127</v>
      </c>
      <c r="D1888" s="60">
        <v>376270713997</v>
      </c>
      <c r="E1888" s="76">
        <v>351215</v>
      </c>
      <c r="G1888" s="93">
        <v>183.46</v>
      </c>
      <c r="H1888" s="83">
        <v>2584494</v>
      </c>
      <c r="J1888" s="106" t="s">
        <v>273</v>
      </c>
      <c r="K1888" s="45"/>
      <c r="L1888" s="45"/>
    </row>
    <row r="1889" spans="1:12" s="12" customFormat="1" ht="15" x14ac:dyDescent="0.25">
      <c r="A1889" s="44">
        <v>42709</v>
      </c>
      <c r="B1889" s="29" t="s">
        <v>127</v>
      </c>
      <c r="D1889" s="60">
        <v>376270713997</v>
      </c>
      <c r="E1889" s="76">
        <v>351215</v>
      </c>
      <c r="G1889" s="93">
        <v>150.94999999999999</v>
      </c>
      <c r="H1889" s="83">
        <v>2585057</v>
      </c>
      <c r="J1889" s="106" t="s">
        <v>273</v>
      </c>
      <c r="K1889" s="45"/>
      <c r="L1889" s="45"/>
    </row>
    <row r="1890" spans="1:12" s="12" customFormat="1" ht="15" x14ac:dyDescent="0.25">
      <c r="A1890" s="44">
        <v>42709</v>
      </c>
      <c r="B1890" s="29" t="s">
        <v>127</v>
      </c>
      <c r="D1890" s="60">
        <v>376270713997</v>
      </c>
      <c r="E1890" s="76">
        <v>351215</v>
      </c>
      <c r="G1890" s="93">
        <v>18.899999999999999</v>
      </c>
      <c r="H1890" s="83">
        <v>2578743</v>
      </c>
      <c r="J1890" s="106" t="s">
        <v>273</v>
      </c>
      <c r="K1890" s="45"/>
      <c r="L1890" s="45"/>
    </row>
    <row r="1891" spans="1:12" s="12" customFormat="1" ht="15" x14ac:dyDescent="0.25">
      <c r="A1891" s="44">
        <v>42710</v>
      </c>
      <c r="B1891" s="29" t="s">
        <v>127</v>
      </c>
      <c r="D1891" s="60">
        <v>376270713997</v>
      </c>
      <c r="E1891" s="76">
        <v>351215</v>
      </c>
      <c r="G1891" s="93">
        <v>83.74</v>
      </c>
      <c r="H1891" s="83">
        <v>2587204</v>
      </c>
      <c r="J1891" s="106" t="s">
        <v>273</v>
      </c>
      <c r="K1891" s="45"/>
      <c r="L1891" s="45"/>
    </row>
    <row r="1892" spans="1:12" s="12" customFormat="1" ht="15" x14ac:dyDescent="0.25">
      <c r="A1892" s="44">
        <v>42710</v>
      </c>
      <c r="B1892" s="29" t="s">
        <v>127</v>
      </c>
      <c r="D1892" s="60">
        <v>376270713997</v>
      </c>
      <c r="E1892" s="76">
        <v>351215</v>
      </c>
      <c r="G1892" s="93">
        <v>106</v>
      </c>
      <c r="H1892" s="83">
        <v>2592974</v>
      </c>
      <c r="J1892" s="106" t="s">
        <v>273</v>
      </c>
      <c r="K1892" s="45"/>
      <c r="L1892" s="45"/>
    </row>
    <row r="1893" spans="1:12" s="12" customFormat="1" ht="15" x14ac:dyDescent="0.25">
      <c r="A1893" s="44">
        <v>42710</v>
      </c>
      <c r="B1893" s="29" t="s">
        <v>127</v>
      </c>
      <c r="D1893" s="60">
        <v>376270713997</v>
      </c>
      <c r="E1893" s="76">
        <v>351215</v>
      </c>
      <c r="G1893" s="93">
        <v>72.11</v>
      </c>
      <c r="H1893" s="83">
        <v>2593079</v>
      </c>
      <c r="J1893" s="106" t="s">
        <v>273</v>
      </c>
      <c r="K1893" s="45"/>
      <c r="L1893" s="45"/>
    </row>
    <row r="1894" spans="1:12" s="12" customFormat="1" ht="15" x14ac:dyDescent="0.25">
      <c r="A1894" s="44">
        <v>42710</v>
      </c>
      <c r="B1894" s="29" t="s">
        <v>127</v>
      </c>
      <c r="D1894" s="60">
        <v>376270713997</v>
      </c>
      <c r="E1894" s="76">
        <v>351215</v>
      </c>
      <c r="G1894" s="93">
        <v>48.6</v>
      </c>
      <c r="H1894" s="83">
        <v>2588640</v>
      </c>
      <c r="J1894" s="106" t="s">
        <v>273</v>
      </c>
      <c r="K1894" s="45"/>
      <c r="L1894" s="45"/>
    </row>
    <row r="1895" spans="1:12" s="12" customFormat="1" ht="15" x14ac:dyDescent="0.25">
      <c r="A1895" s="44">
        <v>42710</v>
      </c>
      <c r="B1895" s="29" t="s">
        <v>127</v>
      </c>
      <c r="D1895" s="60">
        <v>376270713997</v>
      </c>
      <c r="E1895" s="76">
        <v>351215</v>
      </c>
      <c r="G1895" s="93">
        <v>122</v>
      </c>
      <c r="H1895" s="83">
        <v>2587096</v>
      </c>
      <c r="J1895" s="106" t="s">
        <v>273</v>
      </c>
      <c r="K1895" s="45"/>
      <c r="L1895" s="45"/>
    </row>
    <row r="1896" spans="1:12" s="12" customFormat="1" ht="15" x14ac:dyDescent="0.25">
      <c r="A1896" s="44">
        <v>42710</v>
      </c>
      <c r="B1896" s="29" t="s">
        <v>127</v>
      </c>
      <c r="D1896" s="60">
        <v>376270713997</v>
      </c>
      <c r="E1896" s="76">
        <v>351215</v>
      </c>
      <c r="G1896" s="93">
        <v>121.52</v>
      </c>
      <c r="H1896" s="83">
        <v>2587081</v>
      </c>
      <c r="J1896" s="106" t="s">
        <v>273</v>
      </c>
      <c r="K1896" s="45"/>
      <c r="L1896" s="45"/>
    </row>
    <row r="1897" spans="1:12" s="12" customFormat="1" ht="15" x14ac:dyDescent="0.25">
      <c r="A1897" s="44">
        <v>42711</v>
      </c>
      <c r="B1897" s="29" t="s">
        <v>127</v>
      </c>
      <c r="D1897" s="60">
        <v>376270713997</v>
      </c>
      <c r="E1897" s="76">
        <v>351215</v>
      </c>
      <c r="G1897" s="93">
        <v>190.08</v>
      </c>
      <c r="H1897" s="83">
        <v>2594485</v>
      </c>
      <c r="J1897" s="106" t="s">
        <v>273</v>
      </c>
      <c r="K1897" s="45"/>
      <c r="L1897" s="45"/>
    </row>
    <row r="1898" spans="1:12" s="12" customFormat="1" ht="15" x14ac:dyDescent="0.25">
      <c r="A1898" s="44">
        <v>42711</v>
      </c>
      <c r="B1898" s="29" t="s">
        <v>127</v>
      </c>
      <c r="D1898" s="60">
        <v>376270713997</v>
      </c>
      <c r="E1898" s="76">
        <v>351215</v>
      </c>
      <c r="G1898" s="93">
        <v>116</v>
      </c>
      <c r="H1898" s="83">
        <v>2593236</v>
      </c>
      <c r="J1898" s="106" t="s">
        <v>273</v>
      </c>
      <c r="K1898" s="45"/>
      <c r="L1898" s="45"/>
    </row>
    <row r="1899" spans="1:12" s="12" customFormat="1" ht="15" x14ac:dyDescent="0.25">
      <c r="A1899" s="44">
        <v>42712</v>
      </c>
      <c r="B1899" s="29" t="s">
        <v>127</v>
      </c>
      <c r="D1899" s="60">
        <v>376270713997</v>
      </c>
      <c r="E1899" s="76">
        <v>351215</v>
      </c>
      <c r="G1899" s="93">
        <v>99</v>
      </c>
      <c r="H1899" s="83">
        <v>2595789</v>
      </c>
      <c r="J1899" s="106" t="s">
        <v>273</v>
      </c>
      <c r="K1899" s="45"/>
      <c r="L1899" s="45"/>
    </row>
    <row r="1900" spans="1:12" s="12" customFormat="1" ht="15" x14ac:dyDescent="0.25">
      <c r="A1900" s="44">
        <v>42713</v>
      </c>
      <c r="B1900" s="29" t="s">
        <v>127</v>
      </c>
      <c r="D1900" s="60">
        <v>376270713997</v>
      </c>
      <c r="E1900" s="76">
        <v>351215</v>
      </c>
      <c r="G1900" s="93">
        <v>49.12</v>
      </c>
      <c r="H1900" s="83">
        <v>2597658</v>
      </c>
      <c r="J1900" s="106" t="s">
        <v>273</v>
      </c>
      <c r="K1900" s="45"/>
      <c r="L1900" s="45"/>
    </row>
    <row r="1901" spans="1:12" s="12" customFormat="1" ht="15" x14ac:dyDescent="0.25">
      <c r="A1901" s="44">
        <v>42713</v>
      </c>
      <c r="B1901" s="29" t="s">
        <v>127</v>
      </c>
      <c r="D1901" s="60">
        <v>376270713997</v>
      </c>
      <c r="E1901" s="76">
        <v>351215</v>
      </c>
      <c r="G1901" s="93">
        <v>126.26</v>
      </c>
      <c r="H1901" s="83">
        <v>2600515</v>
      </c>
      <c r="J1901" s="106" t="s">
        <v>273</v>
      </c>
      <c r="K1901" s="45"/>
      <c r="L1901" s="45"/>
    </row>
    <row r="1902" spans="1:12" s="24" customFormat="1" ht="15" x14ac:dyDescent="0.25">
      <c r="A1902" s="70">
        <v>42708</v>
      </c>
      <c r="B1902" s="68" t="s">
        <v>127</v>
      </c>
      <c r="C1902" s="203" t="s">
        <v>151</v>
      </c>
      <c r="D1902" s="59">
        <v>376266494990</v>
      </c>
      <c r="E1902" s="77">
        <v>350484</v>
      </c>
      <c r="G1902" s="94">
        <f>28.36+81.59</f>
        <v>109.95</v>
      </c>
      <c r="H1902" s="85">
        <v>2565437</v>
      </c>
      <c r="J1902" s="110" t="s">
        <v>246</v>
      </c>
    </row>
    <row r="1903" spans="1:12" s="24" customFormat="1" ht="15" x14ac:dyDescent="0.25">
      <c r="A1903" s="70">
        <v>42708</v>
      </c>
      <c r="B1903" s="68" t="s">
        <v>127</v>
      </c>
      <c r="C1903" s="203" t="s">
        <v>151</v>
      </c>
      <c r="D1903" s="59">
        <v>376266494990</v>
      </c>
      <c r="E1903" s="77">
        <v>350484</v>
      </c>
      <c r="G1903" s="94">
        <f>18.04+51.54</f>
        <v>69.58</v>
      </c>
      <c r="H1903" s="85">
        <v>2583974</v>
      </c>
      <c r="J1903" s="110" t="s">
        <v>246</v>
      </c>
    </row>
    <row r="1904" spans="1:12" s="24" customFormat="1" ht="15" x14ac:dyDescent="0.25">
      <c r="A1904" s="70">
        <v>42709</v>
      </c>
      <c r="B1904" s="68" t="s">
        <v>127</v>
      </c>
      <c r="C1904" s="203" t="s">
        <v>151</v>
      </c>
      <c r="D1904" s="59">
        <v>376266494990</v>
      </c>
      <c r="E1904" s="77">
        <v>350484</v>
      </c>
      <c r="G1904" s="94">
        <f>18.08+53.61</f>
        <v>71.69</v>
      </c>
      <c r="H1904" s="85">
        <v>2581899</v>
      </c>
      <c r="J1904" s="110" t="s">
        <v>246</v>
      </c>
    </row>
    <row r="1905" spans="1:10" s="24" customFormat="1" ht="15" x14ac:dyDescent="0.25">
      <c r="A1905" s="70">
        <v>42709</v>
      </c>
      <c r="B1905" s="68" t="s">
        <v>127</v>
      </c>
      <c r="C1905" s="203" t="s">
        <v>151</v>
      </c>
      <c r="D1905" s="59">
        <v>376266494990</v>
      </c>
      <c r="E1905" s="77">
        <v>350484</v>
      </c>
      <c r="G1905" s="94">
        <f>1.14+7.25</f>
        <v>8.39</v>
      </c>
      <c r="H1905" s="85">
        <v>2586289</v>
      </c>
      <c r="J1905" s="110" t="s">
        <v>246</v>
      </c>
    </row>
    <row r="1906" spans="1:10" s="24" customFormat="1" ht="15" x14ac:dyDescent="0.25">
      <c r="A1906" s="70">
        <v>42710</v>
      </c>
      <c r="B1906" s="68" t="s">
        <v>127</v>
      </c>
      <c r="C1906" s="203" t="s">
        <v>151</v>
      </c>
      <c r="D1906" s="59">
        <v>376266494990</v>
      </c>
      <c r="E1906" s="77">
        <v>350484</v>
      </c>
      <c r="G1906" s="94">
        <f>24.3+58.94</f>
        <v>83.24</v>
      </c>
      <c r="H1906" s="85">
        <v>2559279</v>
      </c>
      <c r="J1906" s="110" t="s">
        <v>246</v>
      </c>
    </row>
    <row r="1907" spans="1:10" s="24" customFormat="1" ht="15" x14ac:dyDescent="0.25">
      <c r="A1907" s="70">
        <v>42714</v>
      </c>
      <c r="B1907" s="68" t="s">
        <v>127</v>
      </c>
      <c r="C1907" s="203" t="s">
        <v>151</v>
      </c>
      <c r="D1907" s="59">
        <v>376266494990</v>
      </c>
      <c r="E1907" s="77">
        <v>350484</v>
      </c>
      <c r="G1907" s="94">
        <f>5.2+53.7</f>
        <v>58.900000000000006</v>
      </c>
      <c r="H1907" s="85">
        <v>2594272</v>
      </c>
      <c r="J1907" s="110" t="s">
        <v>246</v>
      </c>
    </row>
    <row r="1908" spans="1:10" s="24" customFormat="1" ht="15" x14ac:dyDescent="0.25">
      <c r="A1908" s="70">
        <v>42710</v>
      </c>
      <c r="B1908" s="68" t="s">
        <v>127</v>
      </c>
      <c r="C1908" s="203" t="s">
        <v>151</v>
      </c>
      <c r="D1908" s="59">
        <v>376268723990</v>
      </c>
      <c r="E1908" s="77">
        <v>350843</v>
      </c>
      <c r="G1908" s="94">
        <f>2.58+27.85</f>
        <v>30.43</v>
      </c>
      <c r="H1908" s="85">
        <v>2584655</v>
      </c>
      <c r="J1908" s="110" t="s">
        <v>246</v>
      </c>
    </row>
    <row r="1909" spans="1:10" s="24" customFormat="1" ht="15" x14ac:dyDescent="0.25">
      <c r="A1909" s="70">
        <v>42710</v>
      </c>
      <c r="B1909" s="68" t="s">
        <v>127</v>
      </c>
      <c r="C1909" s="203" t="s">
        <v>151</v>
      </c>
      <c r="D1909" s="59">
        <v>376268723990</v>
      </c>
      <c r="E1909" s="77">
        <v>350843</v>
      </c>
      <c r="G1909" s="94">
        <f>8.72+28.74</f>
        <v>37.46</v>
      </c>
      <c r="H1909" s="85">
        <v>2580204</v>
      </c>
      <c r="J1909" s="110" t="s">
        <v>246</v>
      </c>
    </row>
    <row r="1910" spans="1:10" s="24" customFormat="1" ht="15" x14ac:dyDescent="0.25">
      <c r="A1910" s="70">
        <v>42710</v>
      </c>
      <c r="B1910" s="68" t="s">
        <v>127</v>
      </c>
      <c r="C1910" s="203" t="s">
        <v>151</v>
      </c>
      <c r="D1910" s="59">
        <v>376268723990</v>
      </c>
      <c r="E1910" s="77">
        <v>350843</v>
      </c>
      <c r="G1910" s="94">
        <f>3.58+38.65</f>
        <v>42.23</v>
      </c>
      <c r="H1910" s="85">
        <v>2581500</v>
      </c>
      <c r="J1910" s="110" t="s">
        <v>246</v>
      </c>
    </row>
    <row r="1911" spans="1:10" s="24" customFormat="1" ht="15" x14ac:dyDescent="0.25">
      <c r="A1911" s="70">
        <v>42711</v>
      </c>
      <c r="B1911" s="68" t="s">
        <v>127</v>
      </c>
      <c r="C1911" s="203" t="s">
        <v>151</v>
      </c>
      <c r="D1911" s="59">
        <v>376268723990</v>
      </c>
      <c r="E1911" s="77">
        <v>350843</v>
      </c>
      <c r="G1911" s="94">
        <f>20.75+67.73</f>
        <v>88.48</v>
      </c>
      <c r="H1911" s="85">
        <v>2583089</v>
      </c>
      <c r="J1911" s="110" t="s">
        <v>246</v>
      </c>
    </row>
    <row r="1912" spans="1:10" s="24" customFormat="1" ht="15" x14ac:dyDescent="0.25">
      <c r="A1912" s="70">
        <v>42712</v>
      </c>
      <c r="B1912" s="68" t="s">
        <v>127</v>
      </c>
      <c r="C1912" s="203" t="s">
        <v>151</v>
      </c>
      <c r="D1912" s="59">
        <v>376268723990</v>
      </c>
      <c r="E1912" s="77">
        <v>350843</v>
      </c>
      <c r="G1912" s="94">
        <f>26.64+94.71</f>
        <v>121.35</v>
      </c>
      <c r="H1912" s="85">
        <v>2588311</v>
      </c>
      <c r="J1912" s="110" t="s">
        <v>246</v>
      </c>
    </row>
    <row r="1913" spans="1:10" s="24" customFormat="1" ht="15" x14ac:dyDescent="0.25">
      <c r="A1913" s="70">
        <v>42713</v>
      </c>
      <c r="B1913" s="68" t="s">
        <v>127</v>
      </c>
      <c r="C1913" s="203" t="s">
        <v>151</v>
      </c>
      <c r="D1913" s="59">
        <v>376268723990</v>
      </c>
      <c r="E1913" s="77">
        <v>350843</v>
      </c>
      <c r="G1913" s="94">
        <f>38.37+79.96</f>
        <v>118.32999999999998</v>
      </c>
      <c r="H1913" s="85">
        <v>2602281</v>
      </c>
      <c r="J1913" s="110" t="s">
        <v>246</v>
      </c>
    </row>
    <row r="1914" spans="1:10" s="24" customFormat="1" ht="15" x14ac:dyDescent="0.25">
      <c r="A1914" s="70">
        <v>42714</v>
      </c>
      <c r="B1914" s="68" t="s">
        <v>127</v>
      </c>
      <c r="C1914" s="203" t="s">
        <v>151</v>
      </c>
      <c r="D1914" s="59">
        <v>376268723990</v>
      </c>
      <c r="E1914" s="77">
        <v>350843</v>
      </c>
      <c r="G1914" s="94">
        <f>24.44+80.57</f>
        <v>105.00999999999999</v>
      </c>
      <c r="H1914" s="85">
        <v>2592194</v>
      </c>
      <c r="J1914" s="110" t="s">
        <v>246</v>
      </c>
    </row>
    <row r="1915" spans="1:10" s="24" customFormat="1" ht="15" x14ac:dyDescent="0.25">
      <c r="A1915" s="70">
        <v>42710</v>
      </c>
      <c r="B1915" s="68" t="s">
        <v>127</v>
      </c>
      <c r="C1915" s="203" t="s">
        <v>151</v>
      </c>
      <c r="D1915" s="59">
        <v>376268723990</v>
      </c>
      <c r="E1915" s="77">
        <v>350843</v>
      </c>
      <c r="G1915" s="94">
        <f>49.96+118</f>
        <v>167.96</v>
      </c>
      <c r="H1915" s="85">
        <v>2585174</v>
      </c>
      <c r="J1915" s="110" t="s">
        <v>246</v>
      </c>
    </row>
    <row r="1916" spans="1:10" s="24" customFormat="1" ht="15" x14ac:dyDescent="0.25">
      <c r="A1916" s="70">
        <v>42713</v>
      </c>
      <c r="B1916" s="68" t="s">
        <v>127</v>
      </c>
      <c r="C1916" s="203" t="s">
        <v>151</v>
      </c>
      <c r="D1916" s="59">
        <v>376268786997</v>
      </c>
      <c r="E1916" s="77">
        <v>350875</v>
      </c>
      <c r="G1916" s="94">
        <f>35.17+62.3</f>
        <v>97.47</v>
      </c>
      <c r="H1916" s="85">
        <v>2601883</v>
      </c>
      <c r="J1916" s="110" t="s">
        <v>246</v>
      </c>
    </row>
    <row r="1917" spans="1:10" s="24" customFormat="1" ht="15" x14ac:dyDescent="0.25">
      <c r="A1917" s="70">
        <v>42714</v>
      </c>
      <c r="B1917" s="68" t="s">
        <v>127</v>
      </c>
      <c r="C1917" s="203" t="s">
        <v>151</v>
      </c>
      <c r="D1917" s="59">
        <v>376268786997</v>
      </c>
      <c r="E1917" s="77">
        <v>350875</v>
      </c>
      <c r="G1917" s="94">
        <f>7.4+30.71</f>
        <v>38.11</v>
      </c>
      <c r="H1917" s="85">
        <v>2591090</v>
      </c>
      <c r="J1917" s="110" t="s">
        <v>246</v>
      </c>
    </row>
    <row r="1918" spans="1:10" s="24" customFormat="1" ht="15" x14ac:dyDescent="0.25">
      <c r="A1918" s="70">
        <v>42713</v>
      </c>
      <c r="B1918" s="68" t="s">
        <v>127</v>
      </c>
      <c r="C1918" s="203" t="s">
        <v>151</v>
      </c>
      <c r="D1918" s="59">
        <v>376258261993</v>
      </c>
      <c r="E1918" s="77">
        <v>350178</v>
      </c>
      <c r="G1918" s="94">
        <v>49.56</v>
      </c>
      <c r="H1918" s="85">
        <v>2598716</v>
      </c>
      <c r="J1918" s="110" t="s">
        <v>246</v>
      </c>
    </row>
    <row r="1919" spans="1:10" s="24" customFormat="1" ht="15" x14ac:dyDescent="0.25">
      <c r="A1919" s="70">
        <v>42710</v>
      </c>
      <c r="B1919" s="68" t="s">
        <v>127</v>
      </c>
      <c r="C1919" s="203" t="s">
        <v>151</v>
      </c>
      <c r="D1919" s="59">
        <v>376275307993</v>
      </c>
      <c r="E1919" s="77">
        <v>353346</v>
      </c>
      <c r="G1919" s="94">
        <f>18.44+69.25</f>
        <v>87.69</v>
      </c>
      <c r="H1919" s="85">
        <v>2590071</v>
      </c>
      <c r="J1919" s="110" t="s">
        <v>246</v>
      </c>
    </row>
    <row r="1920" spans="1:10" s="24" customFormat="1" ht="15" x14ac:dyDescent="0.25">
      <c r="A1920" s="70">
        <v>42710</v>
      </c>
      <c r="B1920" s="68" t="s">
        <v>127</v>
      </c>
      <c r="C1920" s="203" t="s">
        <v>151</v>
      </c>
      <c r="D1920" s="59">
        <v>376275307993</v>
      </c>
      <c r="E1920" s="77">
        <v>353346</v>
      </c>
      <c r="G1920" s="94">
        <f>17+89.95</f>
        <v>106.95</v>
      </c>
      <c r="H1920" s="85">
        <v>2591099</v>
      </c>
      <c r="J1920" s="110" t="s">
        <v>246</v>
      </c>
    </row>
    <row r="1921" spans="1:10" s="24" customFormat="1" ht="15" x14ac:dyDescent="0.25">
      <c r="A1921" s="70">
        <v>42710</v>
      </c>
      <c r="B1921" s="68" t="s">
        <v>127</v>
      </c>
      <c r="C1921" s="203" t="s">
        <v>151</v>
      </c>
      <c r="D1921" s="59">
        <v>376275307993</v>
      </c>
      <c r="E1921" s="77">
        <v>353346</v>
      </c>
      <c r="G1921" s="94">
        <f>14.9+60</f>
        <v>74.900000000000006</v>
      </c>
      <c r="H1921" s="85">
        <v>2584510</v>
      </c>
      <c r="J1921" s="110" t="s">
        <v>246</v>
      </c>
    </row>
    <row r="1922" spans="1:10" s="24" customFormat="1" ht="15" x14ac:dyDescent="0.25">
      <c r="A1922" s="70">
        <v>42710</v>
      </c>
      <c r="B1922" s="68" t="s">
        <v>127</v>
      </c>
      <c r="C1922" s="203" t="s">
        <v>151</v>
      </c>
      <c r="D1922" s="59">
        <v>376275307993</v>
      </c>
      <c r="E1922" s="77">
        <v>353346</v>
      </c>
      <c r="G1922" s="94">
        <f>30.96+32.12</f>
        <v>63.08</v>
      </c>
      <c r="H1922" s="85">
        <v>2588384</v>
      </c>
      <c r="J1922" s="110" t="s">
        <v>246</v>
      </c>
    </row>
    <row r="1923" spans="1:10" s="24" customFormat="1" ht="15" x14ac:dyDescent="0.25">
      <c r="A1923" s="70">
        <v>42710</v>
      </c>
      <c r="B1923" s="68" t="s">
        <v>127</v>
      </c>
      <c r="C1923" s="203" t="s">
        <v>151</v>
      </c>
      <c r="D1923" s="59">
        <v>376275307993</v>
      </c>
      <c r="E1923" s="77">
        <v>353346</v>
      </c>
      <c r="G1923" s="94">
        <f>22+72.05</f>
        <v>94.05</v>
      </c>
      <c r="H1923" s="85">
        <v>2581045</v>
      </c>
      <c r="J1923" s="110" t="s">
        <v>246</v>
      </c>
    </row>
    <row r="1924" spans="1:10" s="24" customFormat="1" ht="15" x14ac:dyDescent="0.25">
      <c r="A1924" s="70">
        <v>42710</v>
      </c>
      <c r="B1924" s="68" t="s">
        <v>127</v>
      </c>
      <c r="C1924" s="203" t="s">
        <v>151</v>
      </c>
      <c r="D1924" s="59">
        <v>376275307993</v>
      </c>
      <c r="E1924" s="77">
        <v>353346</v>
      </c>
      <c r="G1924" s="94">
        <f>2.31+2.22</f>
        <v>4.53</v>
      </c>
      <c r="H1924" s="85">
        <v>2570445</v>
      </c>
      <c r="J1924" s="110" t="s">
        <v>246</v>
      </c>
    </row>
    <row r="1925" spans="1:10" s="24" customFormat="1" ht="15" x14ac:dyDescent="0.25">
      <c r="A1925" s="70">
        <v>42710</v>
      </c>
      <c r="B1925" s="68" t="s">
        <v>127</v>
      </c>
      <c r="C1925" s="203" t="s">
        <v>151</v>
      </c>
      <c r="D1925" s="59">
        <v>376275307993</v>
      </c>
      <c r="E1925" s="77">
        <v>353346</v>
      </c>
      <c r="G1925" s="94">
        <f>8.33+26.93</f>
        <v>35.26</v>
      </c>
      <c r="H1925" s="85">
        <v>2580439</v>
      </c>
      <c r="J1925" s="110" t="s">
        <v>246</v>
      </c>
    </row>
    <row r="1926" spans="1:10" s="24" customFormat="1" ht="15" x14ac:dyDescent="0.25">
      <c r="A1926" s="70">
        <v>42709</v>
      </c>
      <c r="B1926" s="68" t="s">
        <v>127</v>
      </c>
      <c r="C1926" s="203" t="s">
        <v>151</v>
      </c>
      <c r="D1926" s="59">
        <v>376275307993</v>
      </c>
      <c r="E1926" s="77">
        <v>353346</v>
      </c>
      <c r="G1926" s="94">
        <f>53.54+133.61</f>
        <v>187.15</v>
      </c>
      <c r="H1926" s="85">
        <v>2577055</v>
      </c>
      <c r="J1926" s="110" t="s">
        <v>246</v>
      </c>
    </row>
    <row r="1927" spans="1:10" s="24" customFormat="1" ht="15" x14ac:dyDescent="0.25">
      <c r="A1927" s="70">
        <v>42710</v>
      </c>
      <c r="B1927" s="68" t="s">
        <v>127</v>
      </c>
      <c r="C1927" s="203" t="s">
        <v>151</v>
      </c>
      <c r="D1927" s="59">
        <v>376275310997</v>
      </c>
      <c r="E1927" s="77">
        <v>352630</v>
      </c>
      <c r="G1927" s="94">
        <v>49.26</v>
      </c>
      <c r="H1927" s="85">
        <v>2591594</v>
      </c>
      <c r="J1927" s="110" t="s">
        <v>246</v>
      </c>
    </row>
    <row r="1928" spans="1:10" s="24" customFormat="1" ht="15" x14ac:dyDescent="0.25">
      <c r="A1928" s="70">
        <v>42716</v>
      </c>
      <c r="B1928" s="68" t="s">
        <v>127</v>
      </c>
      <c r="C1928" s="203" t="s">
        <v>151</v>
      </c>
      <c r="D1928" s="63" t="s">
        <v>212</v>
      </c>
      <c r="E1928" s="78">
        <v>350843</v>
      </c>
      <c r="F1928" s="69"/>
      <c r="G1928" s="95">
        <f>10.48+34.54</f>
        <v>45.019999999999996</v>
      </c>
      <c r="H1928" s="78">
        <v>2608760</v>
      </c>
      <c r="J1928" s="110" t="s">
        <v>246</v>
      </c>
    </row>
    <row r="1929" spans="1:10" s="24" customFormat="1" ht="15" x14ac:dyDescent="0.25">
      <c r="A1929" s="70">
        <v>42716</v>
      </c>
      <c r="B1929" s="68" t="s">
        <v>127</v>
      </c>
      <c r="C1929" s="203" t="s">
        <v>151</v>
      </c>
      <c r="D1929" s="63" t="s">
        <v>212</v>
      </c>
      <c r="E1929" s="78">
        <v>350843</v>
      </c>
      <c r="F1929" s="69"/>
      <c r="G1929" s="95">
        <f>28.06+82.07</f>
        <v>110.13</v>
      </c>
      <c r="H1929" s="78">
        <v>2605049</v>
      </c>
      <c r="J1929" s="110" t="s">
        <v>246</v>
      </c>
    </row>
    <row r="1930" spans="1:10" s="24" customFormat="1" ht="15" x14ac:dyDescent="0.25">
      <c r="A1930" s="70">
        <v>42717</v>
      </c>
      <c r="B1930" s="68" t="s">
        <v>127</v>
      </c>
      <c r="C1930" s="203" t="s">
        <v>151</v>
      </c>
      <c r="D1930" s="63" t="s">
        <v>212</v>
      </c>
      <c r="E1930" s="78">
        <v>350843</v>
      </c>
      <c r="F1930" s="69"/>
      <c r="G1930" s="95">
        <f>34.31+71.48</f>
        <v>105.79</v>
      </c>
      <c r="H1930" s="78">
        <v>2612131</v>
      </c>
      <c r="J1930" s="110" t="s">
        <v>246</v>
      </c>
    </row>
    <row r="1931" spans="1:10" s="24" customFormat="1" ht="15" x14ac:dyDescent="0.25">
      <c r="A1931" s="70">
        <v>42717</v>
      </c>
      <c r="B1931" s="68" t="s">
        <v>127</v>
      </c>
      <c r="C1931" s="203" t="s">
        <v>151</v>
      </c>
      <c r="D1931" s="63" t="s">
        <v>212</v>
      </c>
      <c r="E1931" s="78">
        <v>350843</v>
      </c>
      <c r="F1931" s="69"/>
      <c r="G1931" s="95">
        <f>12.47+58.01</f>
        <v>70.48</v>
      </c>
      <c r="H1931" s="78">
        <v>2613021</v>
      </c>
      <c r="J1931" s="110" t="s">
        <v>246</v>
      </c>
    </row>
    <row r="1932" spans="1:10" s="24" customFormat="1" ht="15" x14ac:dyDescent="0.25">
      <c r="A1932" s="70">
        <v>42717</v>
      </c>
      <c r="B1932" s="68" t="s">
        <v>127</v>
      </c>
      <c r="C1932" s="203" t="s">
        <v>151</v>
      </c>
      <c r="D1932" s="63" t="s">
        <v>212</v>
      </c>
      <c r="E1932" s="78">
        <v>350843</v>
      </c>
      <c r="F1932" s="69"/>
      <c r="G1932" s="95">
        <f>24.36+47.75</f>
        <v>72.11</v>
      </c>
      <c r="H1932" s="78">
        <v>2606663</v>
      </c>
      <c r="J1932" s="110" t="s">
        <v>246</v>
      </c>
    </row>
    <row r="1933" spans="1:10" s="24" customFormat="1" ht="15" x14ac:dyDescent="0.25">
      <c r="A1933" s="70">
        <v>42718</v>
      </c>
      <c r="B1933" s="68" t="s">
        <v>127</v>
      </c>
      <c r="C1933" s="203" t="s">
        <v>151</v>
      </c>
      <c r="D1933" s="63" t="s">
        <v>212</v>
      </c>
      <c r="E1933" s="78">
        <v>350843</v>
      </c>
      <c r="F1933" s="69"/>
      <c r="G1933" s="95">
        <f>12.92+42.59</f>
        <v>55.510000000000005</v>
      </c>
      <c r="H1933" s="78">
        <v>2617482</v>
      </c>
      <c r="J1933" s="110" t="s">
        <v>246</v>
      </c>
    </row>
    <row r="1934" spans="1:10" s="24" customFormat="1" ht="15" x14ac:dyDescent="0.25">
      <c r="A1934" s="70">
        <v>42718</v>
      </c>
      <c r="B1934" s="68" t="s">
        <v>127</v>
      </c>
      <c r="C1934" s="203" t="s">
        <v>151</v>
      </c>
      <c r="D1934" s="63" t="s">
        <v>212</v>
      </c>
      <c r="E1934" s="78">
        <v>350843</v>
      </c>
      <c r="F1934" s="69"/>
      <c r="G1934" s="95">
        <f>6.29+67.95</f>
        <v>74.240000000000009</v>
      </c>
      <c r="H1934" s="78">
        <v>2611917</v>
      </c>
      <c r="J1934" s="110" t="s">
        <v>246</v>
      </c>
    </row>
    <row r="1935" spans="1:10" s="24" customFormat="1" ht="15" x14ac:dyDescent="0.25">
      <c r="A1935" s="70">
        <v>42718</v>
      </c>
      <c r="B1935" s="68" t="s">
        <v>127</v>
      </c>
      <c r="C1935" s="203" t="s">
        <v>151</v>
      </c>
      <c r="D1935" s="63" t="s">
        <v>212</v>
      </c>
      <c r="E1935" s="78">
        <v>350843</v>
      </c>
      <c r="F1935" s="69"/>
      <c r="G1935" s="95">
        <f>41.64+61.67</f>
        <v>103.31</v>
      </c>
      <c r="H1935" s="78">
        <v>2617898</v>
      </c>
      <c r="J1935" s="110" t="s">
        <v>246</v>
      </c>
    </row>
    <row r="1936" spans="1:10" s="24" customFormat="1" ht="15" x14ac:dyDescent="0.25">
      <c r="A1936" s="70">
        <v>42718</v>
      </c>
      <c r="B1936" s="68" t="s">
        <v>127</v>
      </c>
      <c r="C1936" s="203" t="s">
        <v>151</v>
      </c>
      <c r="D1936" s="63" t="s">
        <v>212</v>
      </c>
      <c r="E1936" s="78">
        <v>350843</v>
      </c>
      <c r="F1936" s="69"/>
      <c r="G1936" s="95">
        <f>34.96+145.74</f>
        <v>180.70000000000002</v>
      </c>
      <c r="H1936" s="78">
        <v>2539367</v>
      </c>
      <c r="J1936" s="110" t="s">
        <v>246</v>
      </c>
    </row>
    <row r="1937" spans="1:10" s="24" customFormat="1" ht="15" x14ac:dyDescent="0.25">
      <c r="A1937" s="70">
        <v>42718</v>
      </c>
      <c r="B1937" s="68" t="s">
        <v>127</v>
      </c>
      <c r="C1937" s="203" t="s">
        <v>151</v>
      </c>
      <c r="D1937" s="63" t="s">
        <v>212</v>
      </c>
      <c r="E1937" s="78">
        <v>350843</v>
      </c>
      <c r="F1937" s="69"/>
      <c r="G1937" s="95">
        <f>52.8+84.11</f>
        <v>136.91</v>
      </c>
      <c r="H1937" s="78">
        <v>2614445</v>
      </c>
      <c r="J1937" s="110" t="s">
        <v>246</v>
      </c>
    </row>
    <row r="1938" spans="1:10" s="24" customFormat="1" ht="15" x14ac:dyDescent="0.25">
      <c r="A1938" s="70">
        <v>42719</v>
      </c>
      <c r="B1938" s="68" t="s">
        <v>127</v>
      </c>
      <c r="C1938" s="203" t="s">
        <v>151</v>
      </c>
      <c r="D1938" s="63" t="s">
        <v>212</v>
      </c>
      <c r="E1938" s="78">
        <v>350843</v>
      </c>
      <c r="F1938" s="69"/>
      <c r="G1938" s="95">
        <f>12.58+61.61</f>
        <v>74.19</v>
      </c>
      <c r="H1938" s="78">
        <v>2616489</v>
      </c>
      <c r="J1938" s="110" t="s">
        <v>246</v>
      </c>
    </row>
    <row r="1939" spans="1:10" s="24" customFormat="1" ht="15" x14ac:dyDescent="0.25">
      <c r="A1939" s="70">
        <v>42719</v>
      </c>
      <c r="B1939" s="68" t="s">
        <v>127</v>
      </c>
      <c r="C1939" s="203" t="s">
        <v>151</v>
      </c>
      <c r="D1939" s="63" t="s">
        <v>212</v>
      </c>
      <c r="E1939" s="78">
        <v>350843</v>
      </c>
      <c r="F1939" s="69"/>
      <c r="G1939" s="95">
        <f>10.77+63.48</f>
        <v>74.25</v>
      </c>
      <c r="H1939" s="78">
        <v>2616561</v>
      </c>
      <c r="J1939" s="110" t="s">
        <v>246</v>
      </c>
    </row>
    <row r="1940" spans="1:10" s="24" customFormat="1" ht="15" x14ac:dyDescent="0.25">
      <c r="A1940" s="70">
        <v>42719</v>
      </c>
      <c r="B1940" s="68" t="s">
        <v>127</v>
      </c>
      <c r="C1940" s="203" t="s">
        <v>151</v>
      </c>
      <c r="D1940" s="63" t="s">
        <v>212</v>
      </c>
      <c r="E1940" s="78">
        <v>350843</v>
      </c>
      <c r="F1940" s="69"/>
      <c r="G1940" s="95">
        <f>25.57+41.02</f>
        <v>66.59</v>
      </c>
      <c r="H1940" s="78">
        <v>2617420</v>
      </c>
      <c r="J1940" s="110" t="s">
        <v>246</v>
      </c>
    </row>
    <row r="1941" spans="1:10" s="24" customFormat="1" ht="15" x14ac:dyDescent="0.25">
      <c r="A1941" s="70">
        <v>42719</v>
      </c>
      <c r="B1941" s="68" t="s">
        <v>127</v>
      </c>
      <c r="C1941" s="203" t="s">
        <v>151</v>
      </c>
      <c r="D1941" s="63" t="s">
        <v>212</v>
      </c>
      <c r="E1941" s="78">
        <v>350843</v>
      </c>
      <c r="F1941" s="69"/>
      <c r="G1941" s="95">
        <f>4.16+44.95</f>
        <v>49.11</v>
      </c>
      <c r="H1941" s="78">
        <v>2617673</v>
      </c>
      <c r="J1941" s="110" t="s">
        <v>246</v>
      </c>
    </row>
    <row r="1942" spans="1:10" s="24" customFormat="1" ht="15" x14ac:dyDescent="0.25">
      <c r="A1942" s="70">
        <v>42720</v>
      </c>
      <c r="B1942" s="68" t="s">
        <v>127</v>
      </c>
      <c r="C1942" s="203" t="s">
        <v>151</v>
      </c>
      <c r="D1942" s="63" t="s">
        <v>212</v>
      </c>
      <c r="E1942" s="78">
        <v>350843</v>
      </c>
      <c r="F1942" s="69"/>
      <c r="G1942" s="95">
        <f>71.33+152.79</f>
        <v>224.12</v>
      </c>
      <c r="H1942" s="78">
        <v>2623469</v>
      </c>
      <c r="J1942" s="110" t="s">
        <v>246</v>
      </c>
    </row>
    <row r="1943" spans="1:10" s="24" customFormat="1" ht="15" x14ac:dyDescent="0.25">
      <c r="A1943" s="70">
        <v>42717</v>
      </c>
      <c r="B1943" s="68" t="s">
        <v>127</v>
      </c>
      <c r="C1943" s="203" t="s">
        <v>151</v>
      </c>
      <c r="D1943" s="65" t="s">
        <v>213</v>
      </c>
      <c r="E1943" s="68">
        <v>350776</v>
      </c>
      <c r="F1943" s="71"/>
      <c r="G1943" s="95">
        <f>24.46+61.69</f>
        <v>86.15</v>
      </c>
      <c r="H1943" s="75">
        <v>2611441</v>
      </c>
      <c r="J1943" s="110" t="s">
        <v>246</v>
      </c>
    </row>
    <row r="1944" spans="1:10" s="24" customFormat="1" ht="15" x14ac:dyDescent="0.25">
      <c r="A1944" s="70">
        <v>42718</v>
      </c>
      <c r="B1944" s="68" t="s">
        <v>127</v>
      </c>
      <c r="C1944" s="203" t="s">
        <v>151</v>
      </c>
      <c r="D1944" s="65" t="s">
        <v>213</v>
      </c>
      <c r="E1944" s="68">
        <v>350776</v>
      </c>
      <c r="G1944" s="95">
        <f>32.15+48.6</f>
        <v>80.75</v>
      </c>
      <c r="H1944" s="68">
        <v>2614376</v>
      </c>
      <c r="J1944" s="110" t="s">
        <v>246</v>
      </c>
    </row>
    <row r="1945" spans="1:10" s="24" customFormat="1" ht="15" x14ac:dyDescent="0.25">
      <c r="A1945" s="70">
        <v>42718</v>
      </c>
      <c r="B1945" s="68" t="s">
        <v>127</v>
      </c>
      <c r="C1945" s="203" t="s">
        <v>151</v>
      </c>
      <c r="D1945" s="65" t="s">
        <v>213</v>
      </c>
      <c r="E1945" s="68">
        <v>350776</v>
      </c>
      <c r="G1945" s="95">
        <f>15.21+56.95</f>
        <v>72.16</v>
      </c>
      <c r="H1945" s="68">
        <v>2607737</v>
      </c>
      <c r="J1945" s="110" t="s">
        <v>246</v>
      </c>
    </row>
    <row r="1946" spans="1:10" s="24" customFormat="1" ht="15" x14ac:dyDescent="0.25">
      <c r="A1946" s="70">
        <v>42719</v>
      </c>
      <c r="B1946" s="68" t="s">
        <v>127</v>
      </c>
      <c r="C1946" s="203" t="s">
        <v>151</v>
      </c>
      <c r="D1946" s="65" t="s">
        <v>213</v>
      </c>
      <c r="E1946" s="68">
        <v>350776</v>
      </c>
      <c r="G1946" s="95">
        <f>14.8+9.92</f>
        <v>24.72</v>
      </c>
      <c r="H1946" s="68">
        <v>2620157</v>
      </c>
      <c r="J1946" s="110" t="s">
        <v>246</v>
      </c>
    </row>
    <row r="1947" spans="1:10" s="24" customFormat="1" ht="15" x14ac:dyDescent="0.25">
      <c r="A1947" s="70">
        <v>42719</v>
      </c>
      <c r="B1947" s="68" t="s">
        <v>127</v>
      </c>
      <c r="C1947" s="203" t="s">
        <v>151</v>
      </c>
      <c r="D1947" s="65" t="s">
        <v>213</v>
      </c>
      <c r="E1947" s="68">
        <v>350776</v>
      </c>
      <c r="G1947" s="95">
        <f>20.71+127.95</f>
        <v>148.66</v>
      </c>
      <c r="H1947" s="68">
        <v>2618203</v>
      </c>
      <c r="J1947" s="110" t="s">
        <v>246</v>
      </c>
    </row>
    <row r="1948" spans="1:10" s="24" customFormat="1" ht="15" x14ac:dyDescent="0.25">
      <c r="A1948" s="70">
        <v>42720</v>
      </c>
      <c r="B1948" s="68" t="s">
        <v>127</v>
      </c>
      <c r="C1948" s="203" t="s">
        <v>151</v>
      </c>
      <c r="D1948" s="65" t="s">
        <v>213</v>
      </c>
      <c r="E1948" s="68">
        <v>350776</v>
      </c>
      <c r="G1948" s="95">
        <f>14.38+43.74</f>
        <v>58.120000000000005</v>
      </c>
      <c r="H1948" s="68">
        <v>2621431</v>
      </c>
      <c r="J1948" s="110" t="s">
        <v>246</v>
      </c>
    </row>
    <row r="1949" spans="1:10" s="24" customFormat="1" ht="15" x14ac:dyDescent="0.25">
      <c r="A1949" s="70">
        <v>42717</v>
      </c>
      <c r="B1949" s="68" t="s">
        <v>127</v>
      </c>
      <c r="C1949" s="203" t="s">
        <v>151</v>
      </c>
      <c r="D1949" s="65">
        <v>376222024998</v>
      </c>
      <c r="E1949" s="68">
        <v>352745</v>
      </c>
      <c r="G1949" s="95">
        <v>109.8</v>
      </c>
      <c r="H1949" s="68">
        <v>3596665</v>
      </c>
      <c r="J1949" s="110" t="s">
        <v>246</v>
      </c>
    </row>
    <row r="1950" spans="1:10" s="24" customFormat="1" ht="15" x14ac:dyDescent="0.25">
      <c r="A1950" s="70">
        <v>42716</v>
      </c>
      <c r="B1950" s="68" t="s">
        <v>127</v>
      </c>
      <c r="C1950" s="203" t="s">
        <v>151</v>
      </c>
      <c r="D1950" s="65" t="s">
        <v>214</v>
      </c>
      <c r="E1950" s="75">
        <v>351307</v>
      </c>
      <c r="F1950" s="71"/>
      <c r="G1950" s="95">
        <f>24.68+25.71</f>
        <v>50.39</v>
      </c>
      <c r="H1950" s="75">
        <v>2600203</v>
      </c>
      <c r="J1950" s="110" t="s">
        <v>246</v>
      </c>
    </row>
    <row r="1951" spans="1:10" s="24" customFormat="1" ht="15" x14ac:dyDescent="0.25">
      <c r="A1951" s="70">
        <v>42717</v>
      </c>
      <c r="B1951" s="68" t="s">
        <v>127</v>
      </c>
      <c r="C1951" s="203" t="s">
        <v>151</v>
      </c>
      <c r="D1951" s="65" t="s">
        <v>214</v>
      </c>
      <c r="E1951" s="75">
        <v>351307</v>
      </c>
      <c r="F1951" s="71"/>
      <c r="G1951" s="95">
        <f>4.88+38.48</f>
        <v>43.36</v>
      </c>
      <c r="H1951" s="75">
        <v>2606010</v>
      </c>
      <c r="J1951" s="110" t="s">
        <v>246</v>
      </c>
    </row>
    <row r="1952" spans="1:10" s="24" customFormat="1" ht="15" x14ac:dyDescent="0.25">
      <c r="A1952" s="70">
        <v>42717</v>
      </c>
      <c r="B1952" s="68" t="s">
        <v>127</v>
      </c>
      <c r="C1952" s="203" t="s">
        <v>151</v>
      </c>
      <c r="D1952" s="65" t="s">
        <v>214</v>
      </c>
      <c r="E1952" s="75">
        <v>351307</v>
      </c>
      <c r="F1952" s="71"/>
      <c r="G1952" s="95">
        <f>3.11+35.84</f>
        <v>38.950000000000003</v>
      </c>
      <c r="H1952" s="75">
        <v>2613838</v>
      </c>
      <c r="J1952" s="110" t="s">
        <v>246</v>
      </c>
    </row>
    <row r="1953" spans="1:19" s="24" customFormat="1" ht="15" x14ac:dyDescent="0.25">
      <c r="A1953" s="70">
        <v>42719</v>
      </c>
      <c r="B1953" s="68" t="s">
        <v>127</v>
      </c>
      <c r="C1953" s="203" t="s">
        <v>151</v>
      </c>
      <c r="D1953" s="65" t="s">
        <v>214</v>
      </c>
      <c r="E1953" s="75">
        <v>351307</v>
      </c>
      <c r="F1953" s="71"/>
      <c r="G1953" s="95">
        <f>10.9+53.05</f>
        <v>63.949999999999996</v>
      </c>
      <c r="H1953" s="75">
        <v>2619993</v>
      </c>
      <c r="J1953" s="110" t="s">
        <v>246</v>
      </c>
    </row>
    <row r="1954" spans="1:19" s="12" customFormat="1" ht="15" x14ac:dyDescent="0.25">
      <c r="A1954" s="53">
        <v>42718</v>
      </c>
      <c r="B1954" s="29" t="s">
        <v>127</v>
      </c>
      <c r="C1954" s="19"/>
      <c r="D1954" s="62" t="s">
        <v>184</v>
      </c>
      <c r="E1954" s="79">
        <v>226274</v>
      </c>
      <c r="F1954" s="40"/>
      <c r="G1954" s="91">
        <f>14.77+33.77</f>
        <v>48.540000000000006</v>
      </c>
      <c r="H1954" s="79">
        <v>2602977</v>
      </c>
      <c r="I1954" s="15"/>
      <c r="J1954" s="109" t="s">
        <v>274</v>
      </c>
      <c r="K1954" s="15"/>
      <c r="L1954" s="15"/>
      <c r="M1954" s="15"/>
      <c r="N1954" s="15"/>
      <c r="O1954" s="15"/>
      <c r="P1954" s="15"/>
      <c r="Q1954" s="15"/>
      <c r="R1954" s="15"/>
      <c r="S1954" s="15"/>
    </row>
    <row r="1955" spans="1:19" s="12" customFormat="1" ht="15" x14ac:dyDescent="0.25">
      <c r="A1955" s="53">
        <v>42719</v>
      </c>
      <c r="B1955" s="29" t="s">
        <v>127</v>
      </c>
      <c r="C1955" s="19"/>
      <c r="D1955" s="62" t="s">
        <v>215</v>
      </c>
      <c r="E1955" s="79">
        <v>214022</v>
      </c>
      <c r="F1955" s="40"/>
      <c r="G1955" s="91">
        <f>10.11+39.84</f>
        <v>49.95</v>
      </c>
      <c r="H1955" s="79">
        <v>2619620</v>
      </c>
      <c r="I1955" s="15"/>
      <c r="J1955" s="109" t="s">
        <v>276</v>
      </c>
      <c r="K1955" s="15"/>
      <c r="L1955" s="15"/>
      <c r="M1955" s="15"/>
      <c r="N1955" s="15"/>
      <c r="O1955" s="15"/>
      <c r="P1955" s="15"/>
      <c r="Q1955" s="15"/>
      <c r="R1955" s="15"/>
      <c r="S1955" s="15"/>
    </row>
    <row r="1956" spans="1:19" s="24" customFormat="1" ht="15" x14ac:dyDescent="0.25">
      <c r="A1956" s="70">
        <v>42717</v>
      </c>
      <c r="B1956" s="68" t="s">
        <v>127</v>
      </c>
      <c r="C1956" s="203" t="s">
        <v>151</v>
      </c>
      <c r="D1956" s="65" t="s">
        <v>216</v>
      </c>
      <c r="E1956" s="75">
        <v>350875</v>
      </c>
      <c r="F1956" s="71"/>
      <c r="G1956" s="95">
        <f>32.13+58.93</f>
        <v>91.06</v>
      </c>
      <c r="H1956" s="75">
        <v>2611420</v>
      </c>
      <c r="J1956" s="110" t="s">
        <v>246</v>
      </c>
    </row>
    <row r="1957" spans="1:19" s="24" customFormat="1" ht="15" x14ac:dyDescent="0.25">
      <c r="A1957" s="70">
        <v>42720</v>
      </c>
      <c r="B1957" s="68" t="s">
        <v>127</v>
      </c>
      <c r="C1957" s="203" t="s">
        <v>151</v>
      </c>
      <c r="D1957" s="65" t="s">
        <v>216</v>
      </c>
      <c r="E1957" s="75">
        <v>350875</v>
      </c>
      <c r="F1957" s="71"/>
      <c r="G1957" s="95">
        <f>21.64+55.8</f>
        <v>77.44</v>
      </c>
      <c r="H1957" s="75">
        <v>2621082</v>
      </c>
      <c r="J1957" s="110" t="s">
        <v>246</v>
      </c>
    </row>
    <row r="1958" spans="1:19" s="24" customFormat="1" ht="15" x14ac:dyDescent="0.25">
      <c r="A1958" s="70">
        <v>42722</v>
      </c>
      <c r="B1958" s="68" t="s">
        <v>127</v>
      </c>
      <c r="C1958" s="203" t="s">
        <v>151</v>
      </c>
      <c r="D1958" s="65" t="s">
        <v>216</v>
      </c>
      <c r="E1958" s="75">
        <v>350875</v>
      </c>
      <c r="F1958" s="71"/>
      <c r="G1958" s="95">
        <f>10.08+84.82</f>
        <v>94.899999999999991</v>
      </c>
      <c r="H1958" s="75">
        <v>2621499</v>
      </c>
      <c r="J1958" s="110" t="s">
        <v>246</v>
      </c>
    </row>
    <row r="1959" spans="1:19" s="12" customFormat="1" ht="15" x14ac:dyDescent="0.25">
      <c r="A1959" s="54">
        <v>42715.095590277779</v>
      </c>
      <c r="B1959" s="29" t="s">
        <v>127</v>
      </c>
      <c r="C1959" s="15"/>
      <c r="D1959" s="58" t="s">
        <v>181</v>
      </c>
      <c r="E1959" s="80">
        <v>351215</v>
      </c>
      <c r="F1959" s="46"/>
      <c r="G1959" s="96">
        <v>161.52000000000001</v>
      </c>
      <c r="H1959" s="80">
        <v>2604618</v>
      </c>
      <c r="I1959" s="15"/>
      <c r="J1959" s="109" t="s">
        <v>273</v>
      </c>
      <c r="K1959" s="15"/>
      <c r="L1959" s="15"/>
      <c r="M1959" s="15"/>
      <c r="N1959" s="15"/>
      <c r="O1959" s="15"/>
      <c r="P1959" s="15"/>
      <c r="Q1959" s="15"/>
      <c r="R1959" s="15"/>
      <c r="S1959" s="15"/>
    </row>
    <row r="1960" spans="1:19" s="12" customFormat="1" ht="15" x14ac:dyDescent="0.25">
      <c r="A1960" s="54">
        <v>42715.511944444443</v>
      </c>
      <c r="B1960" s="29" t="s">
        <v>127</v>
      </c>
      <c r="C1960" s="15"/>
      <c r="D1960" s="58" t="s">
        <v>181</v>
      </c>
      <c r="E1960" s="80">
        <v>351215</v>
      </c>
      <c r="F1960" s="46"/>
      <c r="G1960" s="96">
        <v>173.32</v>
      </c>
      <c r="H1960" s="80">
        <v>2579031</v>
      </c>
      <c r="I1960" s="15"/>
      <c r="J1960" s="109" t="s">
        <v>273</v>
      </c>
      <c r="K1960" s="15"/>
      <c r="L1960" s="15"/>
      <c r="M1960" s="15"/>
      <c r="N1960" s="15"/>
      <c r="O1960" s="15"/>
      <c r="P1960" s="15"/>
      <c r="Q1960" s="15"/>
      <c r="R1960" s="15"/>
      <c r="S1960" s="15"/>
    </row>
    <row r="1961" spans="1:19" s="12" customFormat="1" ht="15" x14ac:dyDescent="0.25">
      <c r="A1961" s="54">
        <v>42716.142951388887</v>
      </c>
      <c r="B1961" s="29" t="s">
        <v>127</v>
      </c>
      <c r="C1961" s="15"/>
      <c r="D1961" s="58" t="s">
        <v>181</v>
      </c>
      <c r="E1961" s="80">
        <v>351215</v>
      </c>
      <c r="F1961" s="46"/>
      <c r="G1961" s="96">
        <v>73.400000000000006</v>
      </c>
      <c r="H1961" s="80">
        <v>2603467</v>
      </c>
      <c r="I1961" s="15"/>
      <c r="J1961" s="109" t="s">
        <v>273</v>
      </c>
      <c r="K1961" s="15"/>
      <c r="L1961" s="15"/>
      <c r="M1961" s="15"/>
      <c r="N1961" s="15"/>
      <c r="O1961" s="15"/>
      <c r="P1961" s="15"/>
      <c r="Q1961" s="15"/>
      <c r="R1961" s="15"/>
      <c r="S1961" s="15"/>
    </row>
    <row r="1962" spans="1:19" s="12" customFormat="1" ht="15" x14ac:dyDescent="0.25">
      <c r="A1962" s="54">
        <v>42717.151990740742</v>
      </c>
      <c r="B1962" s="29" t="s">
        <v>127</v>
      </c>
      <c r="C1962" s="15"/>
      <c r="D1962" s="58" t="s">
        <v>181</v>
      </c>
      <c r="E1962" s="80">
        <v>351215</v>
      </c>
      <c r="F1962" s="46"/>
      <c r="G1962" s="96">
        <v>39.1</v>
      </c>
      <c r="H1962" s="80">
        <v>2612749</v>
      </c>
      <c r="I1962" s="15"/>
      <c r="J1962" s="109" t="s">
        <v>273</v>
      </c>
      <c r="K1962" s="15"/>
      <c r="L1962" s="15"/>
      <c r="M1962" s="15"/>
      <c r="N1962" s="15"/>
      <c r="O1962" s="15"/>
      <c r="P1962" s="15"/>
      <c r="Q1962" s="15"/>
      <c r="R1962" s="15"/>
      <c r="S1962" s="15"/>
    </row>
    <row r="1963" spans="1:19" s="12" customFormat="1" ht="15" x14ac:dyDescent="0.25">
      <c r="A1963" s="54">
        <v>42717.528877314813</v>
      </c>
      <c r="B1963" s="29" t="s">
        <v>127</v>
      </c>
      <c r="C1963" s="15"/>
      <c r="D1963" s="58" t="s">
        <v>181</v>
      </c>
      <c r="E1963" s="80">
        <v>351215</v>
      </c>
      <c r="F1963" s="46"/>
      <c r="G1963" s="96">
        <v>85.33</v>
      </c>
      <c r="H1963" s="80">
        <v>2607881</v>
      </c>
      <c r="I1963" s="15"/>
      <c r="J1963" s="109" t="s">
        <v>273</v>
      </c>
      <c r="K1963" s="15"/>
      <c r="L1963" s="15"/>
      <c r="M1963" s="15"/>
      <c r="N1963" s="15"/>
      <c r="O1963" s="15"/>
      <c r="P1963" s="15"/>
      <c r="Q1963" s="15"/>
      <c r="R1963" s="15"/>
      <c r="S1963" s="15"/>
    </row>
    <row r="1964" spans="1:19" s="12" customFormat="1" ht="15" x14ac:dyDescent="0.25">
      <c r="A1964" s="54">
        <v>42717.529976851853</v>
      </c>
      <c r="B1964" s="29" t="s">
        <v>127</v>
      </c>
      <c r="C1964" s="15"/>
      <c r="D1964" s="58" t="s">
        <v>181</v>
      </c>
      <c r="E1964" s="80">
        <v>351215</v>
      </c>
      <c r="F1964" s="46"/>
      <c r="G1964" s="96">
        <v>210.37</v>
      </c>
      <c r="H1964" s="80">
        <v>2608877</v>
      </c>
      <c r="I1964" s="15"/>
      <c r="J1964" s="109" t="s">
        <v>273</v>
      </c>
      <c r="K1964" s="15"/>
      <c r="L1964" s="15"/>
      <c r="M1964" s="15"/>
      <c r="N1964" s="15"/>
      <c r="O1964" s="15"/>
      <c r="P1964" s="15"/>
      <c r="Q1964" s="15"/>
      <c r="R1964" s="15"/>
      <c r="S1964" s="15"/>
    </row>
    <row r="1965" spans="1:19" s="12" customFormat="1" ht="15" x14ac:dyDescent="0.25">
      <c r="A1965" s="54">
        <v>42718.174270833333</v>
      </c>
      <c r="B1965" s="29" t="s">
        <v>127</v>
      </c>
      <c r="C1965" s="15"/>
      <c r="D1965" s="58" t="s">
        <v>181</v>
      </c>
      <c r="E1965" s="80">
        <v>351215</v>
      </c>
      <c r="F1965" s="46"/>
      <c r="G1965" s="96">
        <v>123.05</v>
      </c>
      <c r="H1965" s="80">
        <v>2618220</v>
      </c>
      <c r="I1965" s="15"/>
      <c r="J1965" s="109" t="s">
        <v>273</v>
      </c>
      <c r="K1965" s="15"/>
      <c r="L1965" s="15"/>
      <c r="M1965" s="15"/>
      <c r="N1965" s="15"/>
      <c r="O1965" s="15"/>
      <c r="P1965" s="15"/>
      <c r="Q1965" s="15"/>
      <c r="R1965" s="15"/>
      <c r="S1965" s="15"/>
    </row>
    <row r="1966" spans="1:19" s="12" customFormat="1" ht="15" x14ac:dyDescent="0.25">
      <c r="A1966" s="54">
        <v>42718.256874999999</v>
      </c>
      <c r="B1966" s="29" t="s">
        <v>127</v>
      </c>
      <c r="C1966" s="15"/>
      <c r="D1966" s="58" t="s">
        <v>181</v>
      </c>
      <c r="E1966" s="80">
        <v>351215</v>
      </c>
      <c r="F1966" s="46"/>
      <c r="G1966" s="96">
        <v>109</v>
      </c>
      <c r="H1966" s="80">
        <v>2617519</v>
      </c>
      <c r="I1966" s="15"/>
      <c r="J1966" s="109" t="s">
        <v>273</v>
      </c>
      <c r="K1966" s="15"/>
      <c r="L1966" s="15"/>
      <c r="M1966" s="15"/>
      <c r="N1966" s="15"/>
      <c r="O1966" s="15"/>
      <c r="P1966" s="15"/>
      <c r="Q1966" s="15"/>
      <c r="R1966" s="15"/>
      <c r="S1966" s="15"/>
    </row>
    <row r="1967" spans="1:19" s="12" customFormat="1" ht="15" x14ac:dyDescent="0.25">
      <c r="A1967" s="54">
        <v>42719.087222222224</v>
      </c>
      <c r="B1967" s="29" t="s">
        <v>127</v>
      </c>
      <c r="C1967" s="15"/>
      <c r="D1967" s="58" t="s">
        <v>181</v>
      </c>
      <c r="E1967" s="80">
        <v>351215</v>
      </c>
      <c r="F1967" s="46"/>
      <c r="G1967" s="96">
        <v>322</v>
      </c>
      <c r="H1967" s="80">
        <v>2618414</v>
      </c>
      <c r="I1967" s="15"/>
      <c r="J1967" s="109" t="s">
        <v>273</v>
      </c>
      <c r="K1967" s="15"/>
      <c r="L1967" s="15"/>
      <c r="M1967" s="15"/>
      <c r="N1967" s="15"/>
      <c r="O1967" s="15"/>
      <c r="P1967" s="15"/>
      <c r="Q1967" s="15"/>
      <c r="R1967" s="15"/>
      <c r="S1967" s="15"/>
    </row>
    <row r="1968" spans="1:19" s="12" customFormat="1" ht="15" x14ac:dyDescent="0.25">
      <c r="A1968" s="54">
        <v>42719.107175925928</v>
      </c>
      <c r="B1968" s="29" t="s">
        <v>127</v>
      </c>
      <c r="C1968" s="15"/>
      <c r="D1968" s="58" t="s">
        <v>181</v>
      </c>
      <c r="E1968" s="80">
        <v>351215</v>
      </c>
      <c r="F1968" s="46"/>
      <c r="G1968" s="96">
        <v>87.3</v>
      </c>
      <c r="H1968" s="80">
        <v>2618392</v>
      </c>
      <c r="I1968" s="15"/>
      <c r="J1968" s="109" t="s">
        <v>273</v>
      </c>
      <c r="K1968" s="15"/>
      <c r="L1968" s="15"/>
      <c r="M1968" s="15"/>
      <c r="N1968" s="15"/>
      <c r="O1968" s="15"/>
      <c r="P1968" s="15"/>
      <c r="Q1968" s="15"/>
      <c r="R1968" s="15"/>
      <c r="S1968" s="15"/>
    </row>
    <row r="1969" spans="1:19" s="12" customFormat="1" ht="15" x14ac:dyDescent="0.25">
      <c r="A1969" s="54">
        <v>42719.159583333334</v>
      </c>
      <c r="B1969" s="29" t="s">
        <v>127</v>
      </c>
      <c r="C1969" s="15"/>
      <c r="D1969" s="58" t="s">
        <v>181</v>
      </c>
      <c r="E1969" s="80">
        <v>351215</v>
      </c>
      <c r="F1969" s="46"/>
      <c r="G1969" s="96">
        <v>95.04</v>
      </c>
      <c r="H1969" s="80">
        <v>2621947</v>
      </c>
      <c r="I1969" s="15"/>
      <c r="J1969" s="109" t="s">
        <v>273</v>
      </c>
      <c r="K1969" s="15"/>
      <c r="L1969" s="15"/>
      <c r="M1969" s="15"/>
      <c r="N1969" s="15"/>
      <c r="O1969" s="15"/>
      <c r="P1969" s="15"/>
      <c r="Q1969" s="15"/>
      <c r="R1969" s="15"/>
      <c r="S1969" s="15"/>
    </row>
    <row r="1970" spans="1:19" s="12" customFormat="1" ht="15" x14ac:dyDescent="0.25">
      <c r="A1970" s="54">
        <v>42719.190312500003</v>
      </c>
      <c r="B1970" s="29" t="s">
        <v>127</v>
      </c>
      <c r="C1970" s="15"/>
      <c r="D1970" s="58" t="s">
        <v>181</v>
      </c>
      <c r="E1970" s="80">
        <v>351215</v>
      </c>
      <c r="F1970" s="46"/>
      <c r="G1970" s="96">
        <v>33.950000000000003</v>
      </c>
      <c r="H1970" s="80">
        <v>2621639</v>
      </c>
      <c r="I1970" s="15"/>
      <c r="J1970" s="109" t="s">
        <v>273</v>
      </c>
      <c r="K1970" s="15"/>
      <c r="L1970" s="15"/>
      <c r="M1970" s="15"/>
      <c r="N1970" s="15"/>
      <c r="O1970" s="15"/>
      <c r="P1970" s="15"/>
      <c r="Q1970" s="15"/>
      <c r="R1970" s="15"/>
      <c r="S1970" s="15"/>
    </row>
    <row r="1971" spans="1:19" s="12" customFormat="1" ht="15" x14ac:dyDescent="0.25">
      <c r="A1971" s="54">
        <v>42719.193738425929</v>
      </c>
      <c r="B1971" s="29" t="s">
        <v>127</v>
      </c>
      <c r="C1971" s="15"/>
      <c r="D1971" s="58" t="s">
        <v>181</v>
      </c>
      <c r="E1971" s="80">
        <v>351215</v>
      </c>
      <c r="F1971" s="46"/>
      <c r="G1971" s="96">
        <v>62</v>
      </c>
      <c r="H1971" s="80">
        <v>2621656</v>
      </c>
      <c r="I1971" s="15"/>
      <c r="J1971" s="109" t="s">
        <v>273</v>
      </c>
      <c r="K1971" s="15"/>
      <c r="L1971" s="15"/>
      <c r="M1971" s="15"/>
      <c r="N1971" s="15"/>
      <c r="O1971" s="15"/>
      <c r="P1971" s="15"/>
      <c r="Q1971" s="15"/>
      <c r="R1971" s="15"/>
      <c r="S1971" s="15"/>
    </row>
    <row r="1972" spans="1:19" s="12" customFormat="1" ht="15" x14ac:dyDescent="0.25">
      <c r="A1972" s="54">
        <v>42719.220578703702</v>
      </c>
      <c r="B1972" s="29" t="s">
        <v>127</v>
      </c>
      <c r="C1972" s="15"/>
      <c r="D1972" s="58" t="s">
        <v>181</v>
      </c>
      <c r="E1972" s="80">
        <v>351215</v>
      </c>
      <c r="F1972" s="46"/>
      <c r="G1972" s="96">
        <v>115</v>
      </c>
      <c r="H1972" s="80">
        <v>2619471</v>
      </c>
      <c r="I1972" s="15"/>
      <c r="J1972" s="109" t="s">
        <v>273</v>
      </c>
      <c r="K1972" s="15"/>
      <c r="L1972" s="15"/>
      <c r="M1972" s="15"/>
      <c r="N1972" s="15"/>
      <c r="O1972" s="15"/>
      <c r="P1972" s="15"/>
      <c r="Q1972" s="15"/>
      <c r="R1972" s="15"/>
      <c r="S1972" s="15"/>
    </row>
    <row r="1973" spans="1:19" s="12" customFormat="1" ht="15" x14ac:dyDescent="0.25">
      <c r="A1973" s="54">
        <v>42719.274872685186</v>
      </c>
      <c r="B1973" s="29" t="s">
        <v>127</v>
      </c>
      <c r="C1973" s="15"/>
      <c r="D1973" s="58" t="s">
        <v>181</v>
      </c>
      <c r="E1973" s="80">
        <v>351215</v>
      </c>
      <c r="F1973" s="46"/>
      <c r="G1973" s="96">
        <v>65</v>
      </c>
      <c r="H1973" s="80">
        <v>2621825</v>
      </c>
      <c r="I1973" s="15"/>
      <c r="J1973" s="109" t="s">
        <v>273</v>
      </c>
      <c r="K1973" s="15"/>
      <c r="L1973" s="15"/>
      <c r="M1973" s="15"/>
      <c r="N1973" s="15"/>
      <c r="O1973" s="15"/>
      <c r="P1973" s="15"/>
      <c r="Q1973" s="15"/>
      <c r="R1973" s="15"/>
      <c r="S1973" s="15"/>
    </row>
    <row r="1974" spans="1:19" s="12" customFormat="1" ht="15" x14ac:dyDescent="0.25">
      <c r="A1974" s="54">
        <v>42720.045162037037</v>
      </c>
      <c r="B1974" s="29" t="s">
        <v>127</v>
      </c>
      <c r="C1974" s="15"/>
      <c r="D1974" s="58" t="s">
        <v>181</v>
      </c>
      <c r="E1974" s="80">
        <v>351215</v>
      </c>
      <c r="F1974" s="46"/>
      <c r="G1974" s="96">
        <v>74.95</v>
      </c>
      <c r="H1974" s="80">
        <v>2622210</v>
      </c>
      <c r="I1974" s="15"/>
      <c r="J1974" s="109" t="s">
        <v>273</v>
      </c>
      <c r="K1974" s="15"/>
      <c r="L1974" s="15"/>
      <c r="M1974" s="15"/>
      <c r="N1974" s="15"/>
      <c r="O1974" s="15"/>
      <c r="P1974" s="15"/>
      <c r="Q1974" s="15"/>
      <c r="R1974" s="15"/>
      <c r="S1974" s="15"/>
    </row>
    <row r="1975" spans="1:19" s="12" customFormat="1" ht="15" x14ac:dyDescent="0.25">
      <c r="A1975" s="54">
        <v>42720.053553240738</v>
      </c>
      <c r="B1975" s="29" t="s">
        <v>127</v>
      </c>
      <c r="C1975" s="15"/>
      <c r="D1975" s="58" t="s">
        <v>181</v>
      </c>
      <c r="E1975" s="80">
        <v>351215</v>
      </c>
      <c r="F1975" s="46"/>
      <c r="G1975" s="96">
        <v>52.44</v>
      </c>
      <c r="H1975" s="80">
        <v>2623303</v>
      </c>
      <c r="I1975" s="15"/>
      <c r="J1975" s="109" t="s">
        <v>273</v>
      </c>
      <c r="K1975" s="15"/>
      <c r="L1975" s="15"/>
      <c r="M1975" s="15"/>
      <c r="N1975" s="15"/>
      <c r="O1975" s="15"/>
      <c r="P1975" s="15"/>
      <c r="Q1975" s="15"/>
      <c r="R1975" s="15"/>
      <c r="S1975" s="15"/>
    </row>
    <row r="1976" spans="1:19" s="12" customFormat="1" ht="15" x14ac:dyDescent="0.25">
      <c r="A1976" s="54">
        <v>42720.063530092593</v>
      </c>
      <c r="B1976" s="29" t="s">
        <v>127</v>
      </c>
      <c r="C1976" s="15"/>
      <c r="D1976" s="58" t="s">
        <v>181</v>
      </c>
      <c r="E1976" s="80">
        <v>351215</v>
      </c>
      <c r="F1976" s="46"/>
      <c r="G1976" s="96">
        <v>48</v>
      </c>
      <c r="H1976" s="80">
        <v>2626165</v>
      </c>
      <c r="I1976" s="15"/>
      <c r="J1976" s="109" t="s">
        <v>273</v>
      </c>
      <c r="K1976" s="15"/>
      <c r="L1976" s="15"/>
      <c r="M1976" s="15"/>
      <c r="N1976" s="15"/>
      <c r="O1976" s="15"/>
      <c r="P1976" s="15"/>
      <c r="Q1976" s="15"/>
      <c r="R1976" s="15"/>
      <c r="S1976" s="15"/>
    </row>
    <row r="1977" spans="1:19" s="12" customFormat="1" ht="15" x14ac:dyDescent="0.25">
      <c r="A1977" s="54">
        <v>42720.103379629632</v>
      </c>
      <c r="B1977" s="29" t="s">
        <v>127</v>
      </c>
      <c r="C1977" s="15"/>
      <c r="D1977" s="58" t="s">
        <v>181</v>
      </c>
      <c r="E1977" s="80">
        <v>351215</v>
      </c>
      <c r="F1977" s="46"/>
      <c r="G1977" s="96">
        <v>67.900000000000006</v>
      </c>
      <c r="H1977" s="80">
        <v>2626218</v>
      </c>
      <c r="I1977" s="15"/>
      <c r="J1977" s="109" t="s">
        <v>273</v>
      </c>
      <c r="K1977" s="15"/>
      <c r="L1977" s="15"/>
      <c r="M1977" s="15"/>
      <c r="N1977" s="15"/>
      <c r="O1977" s="15"/>
      <c r="P1977" s="15"/>
      <c r="Q1977" s="15"/>
      <c r="R1977" s="15"/>
      <c r="S1977" s="15"/>
    </row>
    <row r="1978" spans="1:19" s="12" customFormat="1" ht="15" x14ac:dyDescent="0.25">
      <c r="A1978" s="54">
        <v>42720.261157407411</v>
      </c>
      <c r="B1978" s="29" t="s">
        <v>127</v>
      </c>
      <c r="C1978" s="15"/>
      <c r="D1978" s="58" t="s">
        <v>181</v>
      </c>
      <c r="E1978" s="80">
        <v>351215</v>
      </c>
      <c r="F1978" s="46"/>
      <c r="G1978" s="96">
        <v>191.84</v>
      </c>
      <c r="H1978" s="80">
        <v>2621553</v>
      </c>
      <c r="I1978" s="15"/>
      <c r="J1978" s="109" t="s">
        <v>273</v>
      </c>
      <c r="K1978" s="15"/>
      <c r="L1978" s="15"/>
      <c r="M1978" s="15"/>
      <c r="N1978" s="15"/>
      <c r="O1978" s="15"/>
      <c r="P1978" s="15"/>
      <c r="Q1978" s="15"/>
      <c r="R1978" s="15"/>
      <c r="S1978" s="15"/>
    </row>
    <row r="1979" spans="1:19" s="12" customFormat="1" ht="15" x14ac:dyDescent="0.25">
      <c r="A1979" s="54">
        <v>42720.534166666665</v>
      </c>
      <c r="B1979" s="29" t="s">
        <v>127</v>
      </c>
      <c r="C1979" s="15"/>
      <c r="D1979" s="58" t="s">
        <v>181</v>
      </c>
      <c r="E1979" s="80">
        <v>351215</v>
      </c>
      <c r="F1979" s="46"/>
      <c r="G1979" s="96">
        <v>116.03</v>
      </c>
      <c r="H1979" s="80">
        <v>2623568</v>
      </c>
      <c r="I1979" s="15"/>
      <c r="J1979" s="109" t="s">
        <v>273</v>
      </c>
      <c r="K1979" s="15"/>
      <c r="L1979" s="15"/>
      <c r="M1979" s="15"/>
      <c r="N1979" s="15"/>
      <c r="O1979" s="15"/>
      <c r="P1979" s="15"/>
      <c r="Q1979" s="15"/>
      <c r="R1979" s="15"/>
      <c r="S1979" s="15"/>
    </row>
    <row r="1980" spans="1:19" s="24" customFormat="1" ht="15" x14ac:dyDescent="0.25">
      <c r="A1980" s="72">
        <v>42722.17690972222</v>
      </c>
      <c r="B1980" s="68" t="s">
        <v>127</v>
      </c>
      <c r="C1980" s="203" t="s">
        <v>151</v>
      </c>
      <c r="D1980" s="65" t="s">
        <v>212</v>
      </c>
      <c r="E1980" s="75">
        <v>350843</v>
      </c>
      <c r="G1980" s="94">
        <v>91.23</v>
      </c>
      <c r="H1980" s="75">
        <v>2627229</v>
      </c>
      <c r="J1980" s="68" t="s">
        <v>246</v>
      </c>
    </row>
    <row r="1981" spans="1:19" s="24" customFormat="1" ht="15" x14ac:dyDescent="0.25">
      <c r="A1981" s="72">
        <v>42723.107442129629</v>
      </c>
      <c r="B1981" s="68" t="s">
        <v>127</v>
      </c>
      <c r="C1981" s="203" t="s">
        <v>151</v>
      </c>
      <c r="D1981" s="65" t="s">
        <v>212</v>
      </c>
      <c r="E1981" s="75">
        <v>350843</v>
      </c>
      <c r="G1981" s="94">
        <v>87.02</v>
      </c>
      <c r="H1981" s="75">
        <v>2629510</v>
      </c>
      <c r="J1981" s="68" t="s">
        <v>246</v>
      </c>
    </row>
    <row r="1982" spans="1:19" s="24" customFormat="1" ht="15" x14ac:dyDescent="0.25">
      <c r="A1982" s="72">
        <v>42723.177511574075</v>
      </c>
      <c r="B1982" s="68" t="s">
        <v>127</v>
      </c>
      <c r="C1982" s="203" t="s">
        <v>151</v>
      </c>
      <c r="D1982" s="65" t="s">
        <v>212</v>
      </c>
      <c r="E1982" s="75">
        <v>350843</v>
      </c>
      <c r="G1982" s="94">
        <v>85.86</v>
      </c>
      <c r="H1982" s="75">
        <v>2632127</v>
      </c>
      <c r="J1982" s="68" t="s">
        <v>246</v>
      </c>
    </row>
    <row r="1983" spans="1:19" s="24" customFormat="1" ht="15" x14ac:dyDescent="0.25">
      <c r="A1983" s="72">
        <v>42723.230462962965</v>
      </c>
      <c r="B1983" s="68" t="s">
        <v>127</v>
      </c>
      <c r="C1983" s="203" t="s">
        <v>151</v>
      </c>
      <c r="D1983" s="65" t="s">
        <v>212</v>
      </c>
      <c r="E1983" s="75">
        <v>350843</v>
      </c>
      <c r="G1983" s="94">
        <v>42.959999999999994</v>
      </c>
      <c r="H1983" s="75">
        <v>2630601</v>
      </c>
      <c r="J1983" s="68" t="s">
        <v>246</v>
      </c>
    </row>
    <row r="1984" spans="1:19" s="24" customFormat="1" ht="15" x14ac:dyDescent="0.25">
      <c r="A1984" s="72">
        <v>42723.230462962965</v>
      </c>
      <c r="B1984" s="68" t="s">
        <v>127</v>
      </c>
      <c r="C1984" s="203" t="s">
        <v>151</v>
      </c>
      <c r="D1984" s="65" t="s">
        <v>212</v>
      </c>
      <c r="E1984" s="75">
        <v>350843</v>
      </c>
      <c r="G1984" s="94">
        <v>110.53999999999999</v>
      </c>
      <c r="H1984" s="75">
        <v>2630830</v>
      </c>
      <c r="J1984" s="68" t="s">
        <v>246</v>
      </c>
    </row>
    <row r="1985" spans="1:10" s="24" customFormat="1" ht="15" x14ac:dyDescent="0.25">
      <c r="A1985" s="72">
        <v>42724.133553240739</v>
      </c>
      <c r="B1985" s="68" t="s">
        <v>127</v>
      </c>
      <c r="C1985" s="203" t="s">
        <v>151</v>
      </c>
      <c r="D1985" s="65" t="s">
        <v>212</v>
      </c>
      <c r="E1985" s="75">
        <v>350843</v>
      </c>
      <c r="G1985" s="94">
        <v>66.099999999999994</v>
      </c>
      <c r="H1985" s="75">
        <v>2636833</v>
      </c>
      <c r="J1985" s="68" t="s">
        <v>246</v>
      </c>
    </row>
    <row r="1986" spans="1:10" s="24" customFormat="1" ht="15" x14ac:dyDescent="0.25">
      <c r="A1986" s="72">
        <v>42724.18372685185</v>
      </c>
      <c r="B1986" s="68" t="s">
        <v>127</v>
      </c>
      <c r="C1986" s="203" t="s">
        <v>151</v>
      </c>
      <c r="D1986" s="65" t="s">
        <v>212</v>
      </c>
      <c r="E1986" s="75">
        <v>350843</v>
      </c>
      <c r="G1986" s="94">
        <v>21.74</v>
      </c>
      <c r="H1986" s="75">
        <v>2636730</v>
      </c>
      <c r="J1986" s="68" t="s">
        <v>246</v>
      </c>
    </row>
    <row r="1987" spans="1:10" s="24" customFormat="1" ht="15" x14ac:dyDescent="0.25">
      <c r="A1987" s="72">
        <v>42724.18372685185</v>
      </c>
      <c r="B1987" s="68" t="s">
        <v>127</v>
      </c>
      <c r="C1987" s="203" t="s">
        <v>151</v>
      </c>
      <c r="D1987" s="65" t="s">
        <v>212</v>
      </c>
      <c r="E1987" s="75">
        <v>350843</v>
      </c>
      <c r="G1987" s="94">
        <v>73.210000000000008</v>
      </c>
      <c r="H1987" s="75">
        <v>2635163</v>
      </c>
      <c r="J1987" s="68" t="s">
        <v>246</v>
      </c>
    </row>
    <row r="1988" spans="1:10" s="24" customFormat="1" ht="15" x14ac:dyDescent="0.25">
      <c r="A1988" s="72">
        <v>42724.18372685185</v>
      </c>
      <c r="B1988" s="68" t="s">
        <v>127</v>
      </c>
      <c r="C1988" s="203" t="s">
        <v>151</v>
      </c>
      <c r="D1988" s="65" t="s">
        <v>212</v>
      </c>
      <c r="E1988" s="75">
        <v>350843</v>
      </c>
      <c r="G1988" s="94">
        <v>38.959999999999994</v>
      </c>
      <c r="H1988" s="75">
        <v>2632054</v>
      </c>
      <c r="J1988" s="68" t="s">
        <v>246</v>
      </c>
    </row>
    <row r="1989" spans="1:10" s="24" customFormat="1" ht="15" x14ac:dyDescent="0.25">
      <c r="A1989" s="72">
        <v>42724.18372685185</v>
      </c>
      <c r="B1989" s="68" t="s">
        <v>127</v>
      </c>
      <c r="C1989" s="203" t="s">
        <v>151</v>
      </c>
      <c r="D1989" s="65" t="s">
        <v>212</v>
      </c>
      <c r="E1989" s="75">
        <v>350843</v>
      </c>
      <c r="G1989" s="94">
        <v>26.22</v>
      </c>
      <c r="H1989" s="75">
        <v>2630256</v>
      </c>
      <c r="J1989" s="68" t="s">
        <v>246</v>
      </c>
    </row>
    <row r="1990" spans="1:10" s="12" customFormat="1" ht="15" x14ac:dyDescent="0.25">
      <c r="A1990" s="55">
        <v>42722.104525462964</v>
      </c>
      <c r="B1990" s="50" t="s">
        <v>127</v>
      </c>
      <c r="C1990" s="47"/>
      <c r="D1990" s="66" t="s">
        <v>181</v>
      </c>
      <c r="E1990" s="81">
        <v>351215</v>
      </c>
      <c r="G1990" s="97">
        <v>53</v>
      </c>
      <c r="H1990" s="81">
        <v>2622076</v>
      </c>
      <c r="J1990" s="113" t="s">
        <v>277</v>
      </c>
    </row>
    <row r="1991" spans="1:10" s="12" customFormat="1" ht="15" x14ac:dyDescent="0.25">
      <c r="A1991" s="55">
        <v>42722.10659722222</v>
      </c>
      <c r="B1991" s="50" t="s">
        <v>127</v>
      </c>
      <c r="D1991" s="66" t="s">
        <v>181</v>
      </c>
      <c r="E1991" s="81">
        <v>351215</v>
      </c>
      <c r="G1991" s="92">
        <v>56.18</v>
      </c>
      <c r="H1991" s="81">
        <v>2622340</v>
      </c>
      <c r="J1991" s="113" t="s">
        <v>277</v>
      </c>
    </row>
    <row r="1992" spans="1:10" s="12" customFormat="1" ht="15" x14ac:dyDescent="0.25">
      <c r="A1992" s="55">
        <v>42722.402696759258</v>
      </c>
      <c r="B1992" s="50" t="s">
        <v>127</v>
      </c>
      <c r="D1992" s="66" t="s">
        <v>181</v>
      </c>
      <c r="E1992" s="81">
        <v>351215</v>
      </c>
      <c r="G1992" s="92">
        <v>122</v>
      </c>
      <c r="H1992" s="81">
        <v>2626494</v>
      </c>
      <c r="J1992" s="113" t="s">
        <v>277</v>
      </c>
    </row>
    <row r="1993" spans="1:10" s="12" customFormat="1" ht="15" x14ac:dyDescent="0.25">
      <c r="A1993" s="55">
        <v>42723.073703703703</v>
      </c>
      <c r="B1993" s="50" t="s">
        <v>127</v>
      </c>
      <c r="D1993" s="66" t="s">
        <v>181</v>
      </c>
      <c r="E1993" s="81">
        <v>351215</v>
      </c>
      <c r="G1993" s="92">
        <v>67</v>
      </c>
      <c r="H1993" s="81">
        <v>2628990</v>
      </c>
      <c r="J1993" s="113" t="s">
        <v>277</v>
      </c>
    </row>
    <row r="1994" spans="1:10" s="12" customFormat="1" ht="15" x14ac:dyDescent="0.25">
      <c r="A1994" s="55">
        <v>42723.192395833335</v>
      </c>
      <c r="B1994" s="50" t="s">
        <v>127</v>
      </c>
      <c r="D1994" s="66" t="s">
        <v>181</v>
      </c>
      <c r="E1994" s="81">
        <v>351215</v>
      </c>
      <c r="G1994" s="92">
        <v>180.26</v>
      </c>
      <c r="H1994" s="81">
        <v>2629508</v>
      </c>
      <c r="J1994" s="113" t="s">
        <v>277</v>
      </c>
    </row>
    <row r="1995" spans="1:10" s="12" customFormat="1" ht="15" x14ac:dyDescent="0.25">
      <c r="A1995" s="55">
        <v>42723.246412037035</v>
      </c>
      <c r="B1995" s="50" t="s">
        <v>127</v>
      </c>
      <c r="D1995" s="66" t="s">
        <v>181</v>
      </c>
      <c r="E1995" s="81">
        <v>351215</v>
      </c>
      <c r="G1995" s="92">
        <v>338</v>
      </c>
      <c r="H1995" s="81">
        <v>2632309</v>
      </c>
      <c r="J1995" s="113" t="s">
        <v>277</v>
      </c>
    </row>
    <row r="1996" spans="1:10" s="12" customFormat="1" ht="15" x14ac:dyDescent="0.25">
      <c r="A1996" s="55">
        <v>42723.258055555554</v>
      </c>
      <c r="B1996" s="50" t="s">
        <v>127</v>
      </c>
      <c r="D1996" s="66" t="s">
        <v>181</v>
      </c>
      <c r="E1996" s="81">
        <v>351215</v>
      </c>
      <c r="G1996" s="92">
        <v>58.45</v>
      </c>
      <c r="H1996" s="81">
        <v>2625071</v>
      </c>
      <c r="J1996" s="113" t="s">
        <v>277</v>
      </c>
    </row>
    <row r="1997" spans="1:10" s="12" customFormat="1" ht="15" x14ac:dyDescent="0.25">
      <c r="A1997" s="55">
        <v>42723.468263888892</v>
      </c>
      <c r="B1997" s="50" t="s">
        <v>127</v>
      </c>
      <c r="D1997" s="66" t="s">
        <v>181</v>
      </c>
      <c r="E1997" s="81">
        <v>351215</v>
      </c>
      <c r="G1997" s="92">
        <v>63</v>
      </c>
      <c r="H1997" s="81">
        <v>2623437</v>
      </c>
      <c r="J1997" s="113" t="s">
        <v>277</v>
      </c>
    </row>
    <row r="1998" spans="1:10" s="12" customFormat="1" ht="15" x14ac:dyDescent="0.25">
      <c r="A1998" s="55">
        <v>42723.474374999998</v>
      </c>
      <c r="B1998" s="50" t="s">
        <v>127</v>
      </c>
      <c r="D1998" s="66" t="s">
        <v>181</v>
      </c>
      <c r="E1998" s="81">
        <v>351215</v>
      </c>
      <c r="G1998" s="92">
        <v>312.77999999999997</v>
      </c>
      <c r="H1998" s="81">
        <v>2627618</v>
      </c>
      <c r="J1998" s="113" t="s">
        <v>277</v>
      </c>
    </row>
    <row r="1999" spans="1:10" s="12" customFormat="1" ht="15" x14ac:dyDescent="0.25">
      <c r="A1999" s="55">
        <v>42723.474768518521</v>
      </c>
      <c r="B1999" s="50" t="s">
        <v>127</v>
      </c>
      <c r="D1999" s="66" t="s">
        <v>181</v>
      </c>
      <c r="E1999" s="81">
        <v>351215</v>
      </c>
      <c r="G1999" s="92">
        <v>114</v>
      </c>
      <c r="H1999" s="81">
        <v>2628319</v>
      </c>
      <c r="J1999" s="113" t="s">
        <v>277</v>
      </c>
    </row>
    <row r="2000" spans="1:10" s="12" customFormat="1" ht="15" x14ac:dyDescent="0.25">
      <c r="A2000" s="55">
        <v>42723.480393518519</v>
      </c>
      <c r="B2000" s="50" t="s">
        <v>127</v>
      </c>
      <c r="D2000" s="66" t="s">
        <v>181</v>
      </c>
      <c r="E2000" s="81">
        <v>351215</v>
      </c>
      <c r="G2000" s="92">
        <v>114</v>
      </c>
      <c r="H2000" s="81">
        <v>2622250</v>
      </c>
      <c r="J2000" s="113" t="s">
        <v>277</v>
      </c>
    </row>
    <row r="2001" spans="1:10" s="12" customFormat="1" ht="15" x14ac:dyDescent="0.25">
      <c r="A2001" s="55">
        <v>42723.489027777781</v>
      </c>
      <c r="B2001" s="50" t="s">
        <v>127</v>
      </c>
      <c r="D2001" s="66" t="s">
        <v>181</v>
      </c>
      <c r="E2001" s="81">
        <v>351215</v>
      </c>
      <c r="G2001" s="92">
        <v>115</v>
      </c>
      <c r="H2001" s="81">
        <v>2622212</v>
      </c>
      <c r="J2001" s="113" t="s">
        <v>277</v>
      </c>
    </row>
    <row r="2002" spans="1:10" s="12" customFormat="1" ht="15" x14ac:dyDescent="0.25">
      <c r="A2002" s="55">
        <v>42723.494097222225</v>
      </c>
      <c r="B2002" s="50" t="s">
        <v>127</v>
      </c>
      <c r="D2002" s="66" t="s">
        <v>181</v>
      </c>
      <c r="E2002" s="81">
        <v>351215</v>
      </c>
      <c r="G2002" s="92">
        <v>108.17</v>
      </c>
      <c r="H2002" s="81">
        <v>2622815</v>
      </c>
      <c r="J2002" s="113" t="s">
        <v>277</v>
      </c>
    </row>
    <row r="2003" spans="1:10" s="12" customFormat="1" ht="15" x14ac:dyDescent="0.25">
      <c r="A2003" s="55">
        <v>42723.499606481484</v>
      </c>
      <c r="B2003" s="50" t="s">
        <v>127</v>
      </c>
      <c r="D2003" s="66" t="s">
        <v>181</v>
      </c>
      <c r="E2003" s="81">
        <v>351215</v>
      </c>
      <c r="G2003" s="92">
        <v>119</v>
      </c>
      <c r="H2003" s="81">
        <v>2628011</v>
      </c>
      <c r="J2003" s="113" t="s">
        <v>277</v>
      </c>
    </row>
    <row r="2004" spans="1:10" s="12" customFormat="1" ht="15" x14ac:dyDescent="0.25">
      <c r="A2004" s="55">
        <v>42724.159780092596</v>
      </c>
      <c r="B2004" s="50" t="s">
        <v>127</v>
      </c>
      <c r="D2004" s="66" t="s">
        <v>181</v>
      </c>
      <c r="E2004" s="81">
        <v>351215</v>
      </c>
      <c r="G2004" s="92">
        <v>62.06</v>
      </c>
      <c r="H2004" s="81">
        <v>2637461</v>
      </c>
      <c r="J2004" s="113" t="s">
        <v>277</v>
      </c>
    </row>
    <row r="2005" spans="1:10" s="12" customFormat="1" ht="15" x14ac:dyDescent="0.25">
      <c r="A2005" s="55">
        <v>42724.170937499999</v>
      </c>
      <c r="B2005" s="50" t="s">
        <v>127</v>
      </c>
      <c r="D2005" s="66" t="s">
        <v>181</v>
      </c>
      <c r="E2005" s="81">
        <v>351215</v>
      </c>
      <c r="G2005" s="92">
        <v>236</v>
      </c>
      <c r="H2005" s="81">
        <v>2637957</v>
      </c>
      <c r="J2005" s="113" t="s">
        <v>277</v>
      </c>
    </row>
    <row r="2006" spans="1:10" s="12" customFormat="1" ht="15" x14ac:dyDescent="0.25">
      <c r="A2006" s="55">
        <v>42724.204363425924</v>
      </c>
      <c r="B2006" s="50" t="s">
        <v>127</v>
      </c>
      <c r="D2006" s="66" t="s">
        <v>181</v>
      </c>
      <c r="E2006" s="81">
        <v>351215</v>
      </c>
      <c r="G2006" s="92">
        <v>118</v>
      </c>
      <c r="H2006" s="81">
        <v>2633126</v>
      </c>
      <c r="J2006" s="113" t="s">
        <v>277</v>
      </c>
    </row>
    <row r="2007" spans="1:10" s="12" customFormat="1" ht="15" x14ac:dyDescent="0.25">
      <c r="A2007" s="55">
        <v>42724.236180555556</v>
      </c>
      <c r="B2007" s="50" t="s">
        <v>127</v>
      </c>
      <c r="D2007" s="66" t="s">
        <v>181</v>
      </c>
      <c r="E2007" s="81">
        <v>351215</v>
      </c>
      <c r="G2007" s="92">
        <v>79.75</v>
      </c>
      <c r="H2007" s="81">
        <v>2632694</v>
      </c>
      <c r="J2007" s="113" t="s">
        <v>277</v>
      </c>
    </row>
    <row r="2008" spans="1:10" s="12" customFormat="1" ht="15" x14ac:dyDescent="0.25">
      <c r="A2008" s="55">
        <v>42724.418020833335</v>
      </c>
      <c r="B2008" s="50" t="s">
        <v>127</v>
      </c>
      <c r="D2008" s="66" t="s">
        <v>181</v>
      </c>
      <c r="E2008" s="81">
        <v>351215</v>
      </c>
      <c r="G2008" s="92">
        <v>114.49</v>
      </c>
      <c r="H2008" s="81">
        <v>2630805</v>
      </c>
      <c r="J2008" s="113" t="s">
        <v>277</v>
      </c>
    </row>
    <row r="2009" spans="1:10" s="12" customFormat="1" ht="15" x14ac:dyDescent="0.25">
      <c r="A2009" s="55">
        <v>42725.080104166664</v>
      </c>
      <c r="B2009" s="50" t="s">
        <v>127</v>
      </c>
      <c r="D2009" s="66" t="s">
        <v>181</v>
      </c>
      <c r="E2009" s="81">
        <v>351215</v>
      </c>
      <c r="G2009" s="92">
        <v>51</v>
      </c>
      <c r="H2009" s="81">
        <v>2639627</v>
      </c>
      <c r="J2009" s="113" t="s">
        <v>277</v>
      </c>
    </row>
    <row r="2010" spans="1:10" s="12" customFormat="1" ht="15" x14ac:dyDescent="0.25">
      <c r="A2010" s="55">
        <v>42725.151550925926</v>
      </c>
      <c r="B2010" s="50" t="s">
        <v>127</v>
      </c>
      <c r="D2010" s="66" t="s">
        <v>181</v>
      </c>
      <c r="E2010" s="81">
        <v>351215</v>
      </c>
      <c r="G2010" s="92">
        <v>109</v>
      </c>
      <c r="H2010" s="81">
        <v>2641819</v>
      </c>
      <c r="J2010" s="113" t="s">
        <v>277</v>
      </c>
    </row>
    <row r="2011" spans="1:10" s="12" customFormat="1" ht="15" x14ac:dyDescent="0.25">
      <c r="A2011" s="55">
        <v>42725.188773148147</v>
      </c>
      <c r="B2011" s="50" t="s">
        <v>127</v>
      </c>
      <c r="D2011" s="66" t="s">
        <v>181</v>
      </c>
      <c r="E2011" s="81">
        <v>351215</v>
      </c>
      <c r="G2011" s="92">
        <v>96.36</v>
      </c>
      <c r="H2011" s="81">
        <v>2639846</v>
      </c>
      <c r="J2011" s="113" t="s">
        <v>277</v>
      </c>
    </row>
    <row r="2012" spans="1:10" s="12" customFormat="1" ht="15" x14ac:dyDescent="0.25">
      <c r="A2012" s="55">
        <v>42726.245115740741</v>
      </c>
      <c r="B2012" s="50" t="s">
        <v>127</v>
      </c>
      <c r="D2012" s="66" t="s">
        <v>181</v>
      </c>
      <c r="E2012" s="81">
        <v>351215</v>
      </c>
      <c r="G2012" s="92">
        <v>115</v>
      </c>
      <c r="H2012" s="81">
        <v>2640354</v>
      </c>
      <c r="J2012" s="113" t="s">
        <v>277</v>
      </c>
    </row>
    <row r="2013" spans="1:10" s="12" customFormat="1" ht="15" x14ac:dyDescent="0.25">
      <c r="A2013" s="55">
        <v>42727.055625000001</v>
      </c>
      <c r="B2013" s="50" t="s">
        <v>127</v>
      </c>
      <c r="D2013" s="66" t="s">
        <v>181</v>
      </c>
      <c r="E2013" s="81">
        <v>351215</v>
      </c>
      <c r="G2013" s="92">
        <v>124.12</v>
      </c>
      <c r="H2013" s="81">
        <v>2645755</v>
      </c>
      <c r="J2013" s="113" t="s">
        <v>277</v>
      </c>
    </row>
    <row r="2014" spans="1:10" s="12" customFormat="1" ht="15" x14ac:dyDescent="0.25">
      <c r="A2014" s="55">
        <v>42727.075277777774</v>
      </c>
      <c r="B2014" s="50" t="s">
        <v>127</v>
      </c>
      <c r="D2014" s="66" t="s">
        <v>181</v>
      </c>
      <c r="E2014" s="81">
        <v>351215</v>
      </c>
      <c r="G2014" s="92">
        <v>43.2</v>
      </c>
      <c r="H2014" s="81">
        <v>2638452</v>
      </c>
      <c r="J2014" s="113" t="s">
        <v>277</v>
      </c>
    </row>
    <row r="2015" spans="1:10" s="12" customFormat="1" ht="15" x14ac:dyDescent="0.25">
      <c r="A2015" s="55">
        <v>42727.079305555555</v>
      </c>
      <c r="B2015" s="50" t="s">
        <v>127</v>
      </c>
      <c r="D2015" s="66" t="s">
        <v>181</v>
      </c>
      <c r="E2015" s="81">
        <v>351215</v>
      </c>
      <c r="G2015" s="92">
        <v>88</v>
      </c>
      <c r="H2015" s="81">
        <v>2645611</v>
      </c>
      <c r="J2015" s="113" t="s">
        <v>277</v>
      </c>
    </row>
    <row r="2016" spans="1:10" s="12" customFormat="1" ht="15" x14ac:dyDescent="0.25">
      <c r="A2016" s="55">
        <v>42727.451226851852</v>
      </c>
      <c r="B2016" s="50" t="s">
        <v>127</v>
      </c>
      <c r="D2016" s="66" t="s">
        <v>181</v>
      </c>
      <c r="E2016" s="81">
        <v>351215</v>
      </c>
      <c r="G2016" s="92">
        <v>159</v>
      </c>
      <c r="H2016" s="81">
        <v>2646683</v>
      </c>
      <c r="J2016" s="113" t="s">
        <v>277</v>
      </c>
    </row>
    <row r="2017" spans="1:15" s="12" customFormat="1" ht="15" x14ac:dyDescent="0.25">
      <c r="A2017" s="55">
        <v>42727.497210648151</v>
      </c>
      <c r="B2017" s="50" t="s">
        <v>127</v>
      </c>
      <c r="D2017" s="66" t="s">
        <v>181</v>
      </c>
      <c r="E2017" s="81">
        <v>351215</v>
      </c>
      <c r="G2017" s="92">
        <v>125.64</v>
      </c>
      <c r="H2017" s="81">
        <v>2646195</v>
      </c>
      <c r="J2017" s="113" t="s">
        <v>277</v>
      </c>
    </row>
    <row r="2018" spans="1:15" s="12" customFormat="1" ht="15" x14ac:dyDescent="0.25">
      <c r="A2018" s="48">
        <v>42724.226030092592</v>
      </c>
      <c r="B2018" s="51" t="s">
        <v>127</v>
      </c>
      <c r="C2018" s="15"/>
      <c r="D2018" s="57" t="s">
        <v>184</v>
      </c>
      <c r="E2018" s="82">
        <v>226274</v>
      </c>
      <c r="F2018" s="15"/>
      <c r="G2018" s="98">
        <v>112.68</v>
      </c>
      <c r="H2018" s="82">
        <v>2622870</v>
      </c>
      <c r="I2018" s="15"/>
      <c r="J2018" s="28" t="s">
        <v>274</v>
      </c>
      <c r="K2018" s="15"/>
      <c r="L2018" s="15"/>
      <c r="M2018" s="15"/>
      <c r="N2018" s="15"/>
      <c r="O2018" s="15"/>
    </row>
    <row r="2019" spans="1:15" s="12" customFormat="1" ht="15" x14ac:dyDescent="0.25">
      <c r="A2019" s="48">
        <v>42727.414189814815</v>
      </c>
      <c r="B2019" s="51" t="s">
        <v>127</v>
      </c>
      <c r="C2019" s="15"/>
      <c r="D2019" s="57" t="s">
        <v>184</v>
      </c>
      <c r="E2019" s="82">
        <v>226274</v>
      </c>
      <c r="F2019" s="15"/>
      <c r="G2019" s="98">
        <v>67.14</v>
      </c>
      <c r="H2019" s="82">
        <v>2645610</v>
      </c>
      <c r="I2019" s="15"/>
      <c r="J2019" s="28" t="s">
        <v>274</v>
      </c>
      <c r="K2019" s="15"/>
      <c r="L2019" s="15"/>
      <c r="M2019" s="15"/>
      <c r="N2019" s="15"/>
      <c r="O2019" s="15"/>
    </row>
    <row r="2020" spans="1:15" s="24" customFormat="1" ht="15" x14ac:dyDescent="0.25">
      <c r="A2020" s="72">
        <v>42724.166967592595</v>
      </c>
      <c r="B2020" s="67" t="s">
        <v>127</v>
      </c>
      <c r="C2020" s="203" t="s">
        <v>151</v>
      </c>
      <c r="D2020" s="65" t="s">
        <v>243</v>
      </c>
      <c r="E2020" s="75">
        <v>350484</v>
      </c>
      <c r="G2020" s="94">
        <v>43.2</v>
      </c>
      <c r="H2020" s="75">
        <v>2635864</v>
      </c>
      <c r="J2020" s="110" t="s">
        <v>246</v>
      </c>
    </row>
    <row r="2021" spans="1:15" s="24" customFormat="1" ht="15" x14ac:dyDescent="0.25">
      <c r="A2021" s="72">
        <v>42724.254363425927</v>
      </c>
      <c r="B2021" s="67" t="s">
        <v>127</v>
      </c>
      <c r="C2021" s="203" t="s">
        <v>151</v>
      </c>
      <c r="D2021" s="65" t="s">
        <v>243</v>
      </c>
      <c r="E2021" s="75">
        <v>350484</v>
      </c>
      <c r="G2021" s="94">
        <v>198.24</v>
      </c>
      <c r="H2021" s="75">
        <v>2634975</v>
      </c>
      <c r="J2021" s="110" t="s">
        <v>246</v>
      </c>
    </row>
    <row r="2022" spans="1:15" s="24" customFormat="1" ht="15" x14ac:dyDescent="0.25">
      <c r="A2022" s="72">
        <v>42724.273333333331</v>
      </c>
      <c r="B2022" s="67" t="s">
        <v>127</v>
      </c>
      <c r="C2022" s="203" t="s">
        <v>151</v>
      </c>
      <c r="D2022" s="65" t="s">
        <v>243</v>
      </c>
      <c r="E2022" s="75">
        <v>350484</v>
      </c>
      <c r="G2022" s="94">
        <v>32.339999999999996</v>
      </c>
      <c r="H2022" s="75">
        <v>2636782</v>
      </c>
      <c r="J2022" s="110" t="s">
        <v>246</v>
      </c>
    </row>
    <row r="2023" spans="1:15" s="24" customFormat="1" ht="15" x14ac:dyDescent="0.25">
      <c r="A2023" s="72">
        <v>42724.364884259259</v>
      </c>
      <c r="B2023" s="67" t="s">
        <v>127</v>
      </c>
      <c r="C2023" s="203" t="s">
        <v>151</v>
      </c>
      <c r="D2023" s="65" t="s">
        <v>243</v>
      </c>
      <c r="E2023" s="75">
        <v>350484</v>
      </c>
      <c r="G2023" s="94">
        <v>54.81</v>
      </c>
      <c r="H2023" s="75">
        <v>2622827</v>
      </c>
      <c r="J2023" s="110" t="s">
        <v>246</v>
      </c>
    </row>
    <row r="2024" spans="1:15" s="24" customFormat="1" ht="15" x14ac:dyDescent="0.25">
      <c r="A2024" s="72">
        <v>42727.049675925926</v>
      </c>
      <c r="B2024" s="67" t="s">
        <v>127</v>
      </c>
      <c r="C2024" s="203" t="s">
        <v>151</v>
      </c>
      <c r="D2024" s="65" t="s">
        <v>243</v>
      </c>
      <c r="E2024" s="75">
        <v>350484</v>
      </c>
      <c r="G2024" s="94">
        <v>46.37</v>
      </c>
      <c r="H2024" s="75">
        <v>2646280</v>
      </c>
      <c r="J2024" s="110" t="s">
        <v>246</v>
      </c>
    </row>
    <row r="2025" spans="1:15" s="24" customFormat="1" ht="15" x14ac:dyDescent="0.25">
      <c r="A2025" s="72">
        <v>42723.228692129633</v>
      </c>
      <c r="B2025" s="68" t="s">
        <v>127</v>
      </c>
      <c r="C2025" s="203" t="s">
        <v>151</v>
      </c>
      <c r="D2025" s="65" t="s">
        <v>214</v>
      </c>
      <c r="E2025" s="75">
        <v>351307</v>
      </c>
      <c r="G2025" s="94">
        <v>49.949999999999996</v>
      </c>
      <c r="H2025" s="75">
        <v>2632506</v>
      </c>
      <c r="J2025" s="110" t="s">
        <v>246</v>
      </c>
    </row>
    <row r="2026" spans="1:15" s="24" customFormat="1" ht="15" x14ac:dyDescent="0.25">
      <c r="A2026" s="72">
        <v>42724.471562500003</v>
      </c>
      <c r="B2026" s="68" t="s">
        <v>127</v>
      </c>
      <c r="C2026" s="203" t="s">
        <v>151</v>
      </c>
      <c r="D2026" s="65" t="s">
        <v>214</v>
      </c>
      <c r="E2026" s="75">
        <v>351307</v>
      </c>
      <c r="G2026" s="94">
        <v>52.95</v>
      </c>
      <c r="H2026" s="75">
        <v>2632559</v>
      </c>
      <c r="J2026" s="110" t="s">
        <v>246</v>
      </c>
    </row>
    <row r="2027" spans="1:15" s="24" customFormat="1" ht="15" x14ac:dyDescent="0.25">
      <c r="A2027" s="72">
        <v>42724.190381944441</v>
      </c>
      <c r="B2027" s="68" t="s">
        <v>127</v>
      </c>
      <c r="C2027" s="203" t="s">
        <v>151</v>
      </c>
      <c r="D2027" s="65" t="s">
        <v>213</v>
      </c>
      <c r="E2027" s="75">
        <v>350776</v>
      </c>
      <c r="F2027" s="71"/>
      <c r="G2027" s="99">
        <v>101.22</v>
      </c>
      <c r="H2027" s="75">
        <v>2630774</v>
      </c>
      <c r="J2027" s="110" t="s">
        <v>246</v>
      </c>
    </row>
    <row r="2028" spans="1:15" s="12" customFormat="1" ht="15" x14ac:dyDescent="0.25">
      <c r="A2028" s="48">
        <v>42730.092800925922</v>
      </c>
      <c r="B2028" s="29" t="s">
        <v>127</v>
      </c>
      <c r="C2028" s="15"/>
      <c r="D2028" s="66" t="s">
        <v>181</v>
      </c>
      <c r="E2028" s="81">
        <v>351215</v>
      </c>
      <c r="F2028" s="15"/>
      <c r="G2028" s="88">
        <v>118</v>
      </c>
      <c r="H2028" s="81">
        <v>2647512</v>
      </c>
      <c r="I2028" s="15"/>
      <c r="J2028" s="113" t="s">
        <v>278</v>
      </c>
    </row>
    <row r="2029" spans="1:15" s="12" customFormat="1" ht="15" x14ac:dyDescent="0.25">
      <c r="A2029" s="48">
        <v>42730.136932870373</v>
      </c>
      <c r="B2029" s="29" t="s">
        <v>127</v>
      </c>
      <c r="C2029" s="15"/>
      <c r="D2029" s="66" t="s">
        <v>181</v>
      </c>
      <c r="E2029" s="81">
        <v>351215</v>
      </c>
      <c r="F2029" s="15"/>
      <c r="G2029" s="88">
        <v>95.37</v>
      </c>
      <c r="H2029" s="81">
        <v>2648073</v>
      </c>
      <c r="I2029" s="15"/>
      <c r="J2029" s="113" t="s">
        <v>278</v>
      </c>
    </row>
    <row r="2030" spans="1:15" s="12" customFormat="1" ht="15" x14ac:dyDescent="0.25">
      <c r="A2030" s="48">
        <v>42730.452604166669</v>
      </c>
      <c r="B2030" s="29" t="s">
        <v>127</v>
      </c>
      <c r="C2030" s="15"/>
      <c r="D2030" s="66" t="s">
        <v>181</v>
      </c>
      <c r="E2030" s="81">
        <v>351215</v>
      </c>
      <c r="F2030" s="15"/>
      <c r="G2030" s="88">
        <v>265.95999999999998</v>
      </c>
      <c r="H2030" s="81">
        <v>2647424</v>
      </c>
      <c r="I2030" s="15"/>
      <c r="J2030" s="113" t="s">
        <v>278</v>
      </c>
    </row>
    <row r="2031" spans="1:15" s="12" customFormat="1" ht="15" x14ac:dyDescent="0.25">
      <c r="A2031" s="48">
        <v>42731.098634259259</v>
      </c>
      <c r="B2031" s="29" t="s">
        <v>127</v>
      </c>
      <c r="C2031" s="15"/>
      <c r="D2031" s="66" t="s">
        <v>181</v>
      </c>
      <c r="E2031" s="81">
        <v>351215</v>
      </c>
      <c r="F2031" s="15"/>
      <c r="G2031" s="88">
        <v>53</v>
      </c>
      <c r="H2031" s="81">
        <v>2653694</v>
      </c>
      <c r="I2031" s="15"/>
      <c r="J2031" s="113" t="s">
        <v>278</v>
      </c>
    </row>
    <row r="2032" spans="1:15" s="12" customFormat="1" ht="15" x14ac:dyDescent="0.25">
      <c r="A2032" s="48">
        <v>42731.17869212963</v>
      </c>
      <c r="B2032" s="29" t="s">
        <v>127</v>
      </c>
      <c r="C2032" s="15"/>
      <c r="D2032" s="66" t="s">
        <v>181</v>
      </c>
      <c r="E2032" s="81">
        <v>351215</v>
      </c>
      <c r="F2032" s="15"/>
      <c r="G2032" s="88">
        <v>130.54</v>
      </c>
      <c r="H2032" s="81">
        <v>2650602</v>
      </c>
      <c r="I2032" s="15"/>
      <c r="J2032" s="113" t="s">
        <v>278</v>
      </c>
    </row>
    <row r="2033" spans="1:19" s="12" customFormat="1" ht="15" x14ac:dyDescent="0.25">
      <c r="A2033" s="48">
        <v>42731.219525462962</v>
      </c>
      <c r="B2033" s="29" t="s">
        <v>127</v>
      </c>
      <c r="C2033" s="15"/>
      <c r="D2033" s="66" t="s">
        <v>181</v>
      </c>
      <c r="E2033" s="81">
        <v>351215</v>
      </c>
      <c r="F2033" s="15"/>
      <c r="G2033" s="88">
        <v>71.010000000000005</v>
      </c>
      <c r="H2033" s="81">
        <v>2650678</v>
      </c>
      <c r="I2033" s="15"/>
      <c r="J2033" s="113" t="s">
        <v>278</v>
      </c>
    </row>
    <row r="2034" spans="1:19" s="12" customFormat="1" ht="15" x14ac:dyDescent="0.25">
      <c r="A2034" s="48">
        <v>42731.521238425928</v>
      </c>
      <c r="B2034" s="29" t="s">
        <v>127</v>
      </c>
      <c r="C2034" s="15"/>
      <c r="D2034" s="66" t="s">
        <v>181</v>
      </c>
      <c r="E2034" s="81">
        <v>351215</v>
      </c>
      <c r="F2034" s="15"/>
      <c r="G2034" s="88">
        <v>94</v>
      </c>
      <c r="H2034" s="81">
        <v>2649195</v>
      </c>
      <c r="I2034" s="15"/>
      <c r="J2034" s="113" t="s">
        <v>278</v>
      </c>
    </row>
    <row r="2035" spans="1:19" s="12" customFormat="1" ht="15" x14ac:dyDescent="0.25">
      <c r="A2035" s="48">
        <v>42732.048576388886</v>
      </c>
      <c r="B2035" s="29" t="s">
        <v>127</v>
      </c>
      <c r="C2035" s="15"/>
      <c r="D2035" s="66" t="s">
        <v>181</v>
      </c>
      <c r="E2035" s="81">
        <v>351215</v>
      </c>
      <c r="F2035" s="15"/>
      <c r="G2035" s="88">
        <v>106.1</v>
      </c>
      <c r="H2035" s="81">
        <v>2654730</v>
      </c>
      <c r="I2035" s="15"/>
      <c r="J2035" s="113" t="s">
        <v>278</v>
      </c>
    </row>
    <row r="2036" spans="1:19" s="12" customFormat="1" ht="15" x14ac:dyDescent="0.25">
      <c r="A2036" s="48">
        <v>42732.069409722222</v>
      </c>
      <c r="B2036" s="29" t="s">
        <v>127</v>
      </c>
      <c r="C2036" s="15"/>
      <c r="D2036" s="66" t="s">
        <v>181</v>
      </c>
      <c r="E2036" s="81">
        <v>351215</v>
      </c>
      <c r="F2036" s="15"/>
      <c r="G2036" s="88">
        <v>58.85</v>
      </c>
      <c r="H2036" s="81">
        <v>2655037</v>
      </c>
      <c r="I2036" s="15"/>
      <c r="J2036" s="113" t="s">
        <v>278</v>
      </c>
    </row>
    <row r="2037" spans="1:19" s="12" customFormat="1" ht="15" x14ac:dyDescent="0.25">
      <c r="A2037" s="48">
        <v>42732.508958333332</v>
      </c>
      <c r="B2037" s="29" t="s">
        <v>127</v>
      </c>
      <c r="C2037" s="15"/>
      <c r="D2037" s="66" t="s">
        <v>181</v>
      </c>
      <c r="E2037" s="81">
        <v>351215</v>
      </c>
      <c r="F2037" s="15"/>
      <c r="G2037" s="88">
        <v>22.95</v>
      </c>
      <c r="H2037" s="81">
        <v>2656728</v>
      </c>
      <c r="I2037" s="15"/>
      <c r="J2037" s="113" t="s">
        <v>278</v>
      </c>
    </row>
    <row r="2038" spans="1:19" s="12" customFormat="1" ht="15" x14ac:dyDescent="0.25">
      <c r="A2038" s="48">
        <v>42733.508009259262</v>
      </c>
      <c r="B2038" s="29" t="s">
        <v>127</v>
      </c>
      <c r="C2038" s="15"/>
      <c r="D2038" s="66" t="s">
        <v>181</v>
      </c>
      <c r="E2038" s="81">
        <v>351215</v>
      </c>
      <c r="F2038" s="15"/>
      <c r="G2038" s="88">
        <v>71.17</v>
      </c>
      <c r="H2038" s="81">
        <v>2661388</v>
      </c>
      <c r="I2038" s="15"/>
      <c r="J2038" s="113" t="s">
        <v>278</v>
      </c>
    </row>
    <row r="2039" spans="1:19" x14ac:dyDescent="0.2">
      <c r="A2039" s="205">
        <v>42723.480393518519</v>
      </c>
      <c r="B2039" s="50" t="s">
        <v>127</v>
      </c>
      <c r="D2039" s="204" t="s">
        <v>181</v>
      </c>
      <c r="E2039" s="81">
        <v>351215</v>
      </c>
      <c r="G2039" s="207">
        <v>114</v>
      </c>
      <c r="H2039" s="162">
        <v>2622250</v>
      </c>
      <c r="J2039" s="173" t="s">
        <v>242</v>
      </c>
      <c r="K2039" s="19"/>
      <c r="L2039" s="19"/>
      <c r="M2039" s="19"/>
      <c r="N2039" s="19"/>
      <c r="O2039" s="19"/>
      <c r="P2039" s="19"/>
      <c r="Q2039" s="19"/>
      <c r="R2039" s="19"/>
      <c r="S2039" s="19"/>
    </row>
    <row r="2040" spans="1:19" x14ac:dyDescent="0.2">
      <c r="A2040" s="205">
        <v>42723.489027777781</v>
      </c>
      <c r="B2040" s="50" t="s">
        <v>127</v>
      </c>
      <c r="D2040" s="204" t="s">
        <v>181</v>
      </c>
      <c r="E2040" s="81">
        <v>351215</v>
      </c>
      <c r="G2040" s="207">
        <v>115</v>
      </c>
      <c r="H2040" s="162">
        <v>2622212</v>
      </c>
      <c r="J2040" s="173" t="s">
        <v>242</v>
      </c>
      <c r="K2040" s="19"/>
      <c r="L2040" s="19"/>
      <c r="M2040" s="19"/>
      <c r="N2040" s="19"/>
      <c r="O2040" s="19"/>
      <c r="P2040" s="19"/>
      <c r="Q2040" s="19"/>
      <c r="R2040" s="19"/>
      <c r="S2040" s="19"/>
    </row>
    <row r="2041" spans="1:19" x14ac:dyDescent="0.2">
      <c r="A2041" s="205">
        <v>42723.494097222225</v>
      </c>
      <c r="B2041" s="50" t="s">
        <v>127</v>
      </c>
      <c r="D2041" s="204" t="s">
        <v>181</v>
      </c>
      <c r="E2041" s="81">
        <v>351215</v>
      </c>
      <c r="G2041" s="207">
        <v>108.17</v>
      </c>
      <c r="H2041" s="162">
        <v>2622815</v>
      </c>
      <c r="J2041" s="173" t="s">
        <v>242</v>
      </c>
      <c r="K2041" s="19"/>
      <c r="L2041" s="19"/>
      <c r="M2041" s="19"/>
      <c r="N2041" s="19"/>
      <c r="O2041" s="19"/>
      <c r="P2041" s="19"/>
      <c r="Q2041" s="19"/>
      <c r="R2041" s="19"/>
      <c r="S2041" s="19"/>
    </row>
    <row r="2042" spans="1:19" x14ac:dyDescent="0.2">
      <c r="A2042" s="205">
        <v>42723.499606481484</v>
      </c>
      <c r="B2042" s="50" t="s">
        <v>127</v>
      </c>
      <c r="D2042" s="204" t="s">
        <v>181</v>
      </c>
      <c r="E2042" s="81">
        <v>351215</v>
      </c>
      <c r="G2042" s="207">
        <v>119</v>
      </c>
      <c r="H2042" s="162">
        <v>2628011</v>
      </c>
      <c r="J2042" s="173" t="s">
        <v>242</v>
      </c>
      <c r="K2042" s="19"/>
      <c r="L2042" s="19"/>
      <c r="M2042" s="19"/>
      <c r="N2042" s="19"/>
      <c r="O2042" s="19"/>
      <c r="P2042" s="19"/>
      <c r="Q2042" s="19"/>
      <c r="R2042" s="19"/>
      <c r="S2042" s="19"/>
    </row>
    <row r="2043" spans="1:19" x14ac:dyDescent="0.2">
      <c r="A2043" s="205">
        <v>42724.159780092596</v>
      </c>
      <c r="B2043" s="50" t="s">
        <v>127</v>
      </c>
      <c r="D2043" s="204" t="s">
        <v>181</v>
      </c>
      <c r="E2043" s="81">
        <v>351215</v>
      </c>
      <c r="G2043" s="207">
        <v>62.06</v>
      </c>
      <c r="H2043" s="162">
        <v>2637461</v>
      </c>
      <c r="J2043" s="173" t="s">
        <v>242</v>
      </c>
      <c r="Q2043" s="19"/>
      <c r="R2043" s="19"/>
      <c r="S2043" s="19"/>
    </row>
    <row r="2044" spans="1:19" x14ac:dyDescent="0.2">
      <c r="A2044" s="205">
        <v>42724.170937499999</v>
      </c>
      <c r="B2044" s="50" t="s">
        <v>127</v>
      </c>
      <c r="D2044" s="204" t="s">
        <v>181</v>
      </c>
      <c r="E2044" s="81">
        <v>351215</v>
      </c>
      <c r="G2044" s="207">
        <v>236</v>
      </c>
      <c r="H2044" s="162">
        <v>2637957</v>
      </c>
      <c r="J2044" s="173" t="s">
        <v>242</v>
      </c>
      <c r="Q2044" s="19"/>
      <c r="R2044" s="19"/>
      <c r="S2044" s="19"/>
    </row>
    <row r="2045" spans="1:19" x14ac:dyDescent="0.2">
      <c r="A2045" s="205">
        <v>42724.204363425924</v>
      </c>
      <c r="B2045" s="50" t="s">
        <v>127</v>
      </c>
      <c r="D2045" s="204" t="s">
        <v>181</v>
      </c>
      <c r="E2045" s="81">
        <v>351215</v>
      </c>
      <c r="G2045" s="207">
        <v>118</v>
      </c>
      <c r="H2045" s="162">
        <v>2633126</v>
      </c>
      <c r="J2045" s="173" t="s">
        <v>242</v>
      </c>
      <c r="Q2045" s="19"/>
      <c r="R2045" s="19"/>
      <c r="S2045" s="19"/>
    </row>
    <row r="2046" spans="1:19" x14ac:dyDescent="0.2">
      <c r="A2046" s="205">
        <v>42724.236180555556</v>
      </c>
      <c r="B2046" s="50" t="s">
        <v>127</v>
      </c>
      <c r="D2046" s="204" t="s">
        <v>181</v>
      </c>
      <c r="E2046" s="81">
        <v>351215</v>
      </c>
      <c r="G2046" s="207">
        <v>79.75</v>
      </c>
      <c r="H2046" s="162">
        <v>2632694</v>
      </c>
      <c r="J2046" s="173" t="s">
        <v>242</v>
      </c>
      <c r="Q2046" s="19"/>
      <c r="R2046" s="19"/>
      <c r="S2046" s="19"/>
    </row>
    <row r="2047" spans="1:19" x14ac:dyDescent="0.2">
      <c r="A2047" s="205">
        <v>42724.418020833335</v>
      </c>
      <c r="B2047" s="50" t="s">
        <v>127</v>
      </c>
      <c r="D2047" s="204" t="s">
        <v>181</v>
      </c>
      <c r="E2047" s="81">
        <v>351215</v>
      </c>
      <c r="G2047" s="207">
        <v>114.49</v>
      </c>
      <c r="H2047" s="162">
        <v>2630805</v>
      </c>
      <c r="J2047" s="173" t="s">
        <v>242</v>
      </c>
      <c r="Q2047" s="19"/>
      <c r="R2047" s="19"/>
      <c r="S2047" s="19"/>
    </row>
    <row r="2048" spans="1:19" x14ac:dyDescent="0.2">
      <c r="A2048" s="205">
        <v>42725.080104166664</v>
      </c>
      <c r="B2048" s="50" t="s">
        <v>127</v>
      </c>
      <c r="D2048" s="204" t="s">
        <v>181</v>
      </c>
      <c r="E2048" s="81">
        <v>351215</v>
      </c>
      <c r="G2048" s="207">
        <v>51</v>
      </c>
      <c r="H2048" s="162">
        <v>2639627</v>
      </c>
      <c r="J2048" s="173" t="s">
        <v>242</v>
      </c>
      <c r="Q2048" s="19"/>
      <c r="R2048" s="19"/>
      <c r="S2048" s="19"/>
    </row>
    <row r="2049" spans="1:19" x14ac:dyDescent="0.2">
      <c r="A2049" s="205">
        <v>42725.151550925926</v>
      </c>
      <c r="B2049" s="50" t="s">
        <v>127</v>
      </c>
      <c r="D2049" s="204" t="s">
        <v>181</v>
      </c>
      <c r="E2049" s="81">
        <v>351215</v>
      </c>
      <c r="G2049" s="207">
        <v>109</v>
      </c>
      <c r="H2049" s="162">
        <v>2641819</v>
      </c>
      <c r="J2049" s="173" t="s">
        <v>242</v>
      </c>
      <c r="Q2049" s="19"/>
      <c r="R2049" s="19"/>
      <c r="S2049" s="19"/>
    </row>
    <row r="2050" spans="1:19" x14ac:dyDescent="0.2">
      <c r="A2050" s="205">
        <v>42725.188773148147</v>
      </c>
      <c r="B2050" s="50" t="s">
        <v>127</v>
      </c>
      <c r="D2050" s="204" t="s">
        <v>181</v>
      </c>
      <c r="E2050" s="81">
        <v>351215</v>
      </c>
      <c r="G2050" s="207">
        <v>96.36</v>
      </c>
      <c r="H2050" s="162">
        <v>2639846</v>
      </c>
      <c r="J2050" s="173" t="s">
        <v>242</v>
      </c>
      <c r="Q2050" s="19"/>
      <c r="R2050" s="19"/>
      <c r="S2050" s="19"/>
    </row>
    <row r="2051" spans="1:19" x14ac:dyDescent="0.2">
      <c r="A2051" s="205">
        <v>42726.245115740741</v>
      </c>
      <c r="B2051" s="50" t="s">
        <v>127</v>
      </c>
      <c r="D2051" s="204" t="s">
        <v>181</v>
      </c>
      <c r="E2051" s="81">
        <v>351215</v>
      </c>
      <c r="G2051" s="207">
        <v>115</v>
      </c>
      <c r="H2051" s="162">
        <v>2640354</v>
      </c>
      <c r="J2051" s="173" t="s">
        <v>242</v>
      </c>
      <c r="Q2051" s="19"/>
      <c r="R2051" s="19"/>
      <c r="S2051" s="19"/>
    </row>
    <row r="2052" spans="1:19" x14ac:dyDescent="0.2">
      <c r="A2052" s="205">
        <v>42727.055625000001</v>
      </c>
      <c r="B2052" s="50" t="s">
        <v>127</v>
      </c>
      <c r="D2052" s="204" t="s">
        <v>181</v>
      </c>
      <c r="E2052" s="81">
        <v>351215</v>
      </c>
      <c r="G2052" s="207">
        <v>124.12</v>
      </c>
      <c r="H2052" s="162">
        <v>2645755</v>
      </c>
      <c r="J2052" s="173" t="s">
        <v>242</v>
      </c>
      <c r="Q2052" s="19"/>
      <c r="R2052" s="19"/>
      <c r="S2052" s="19"/>
    </row>
    <row r="2053" spans="1:19" x14ac:dyDescent="0.2">
      <c r="A2053" s="205">
        <v>42727.075277777774</v>
      </c>
      <c r="B2053" s="50" t="s">
        <v>127</v>
      </c>
      <c r="D2053" s="204" t="s">
        <v>181</v>
      </c>
      <c r="E2053" s="81">
        <v>351215</v>
      </c>
      <c r="G2053" s="207">
        <v>43.2</v>
      </c>
      <c r="H2053" s="162">
        <v>2638452</v>
      </c>
      <c r="J2053" s="173" t="s">
        <v>242</v>
      </c>
      <c r="Q2053" s="19"/>
      <c r="R2053" s="19"/>
      <c r="S2053" s="19"/>
    </row>
    <row r="2054" spans="1:19" x14ac:dyDescent="0.2">
      <c r="A2054" s="205">
        <v>42727.079305555555</v>
      </c>
      <c r="B2054" s="50" t="s">
        <v>127</v>
      </c>
      <c r="D2054" s="204" t="s">
        <v>181</v>
      </c>
      <c r="E2054" s="81">
        <v>351215</v>
      </c>
      <c r="G2054" s="207">
        <v>88</v>
      </c>
      <c r="H2054" s="162">
        <v>2645611</v>
      </c>
      <c r="J2054" s="173" t="s">
        <v>242</v>
      </c>
      <c r="Q2054" s="19"/>
      <c r="R2054" s="19"/>
      <c r="S2054" s="19"/>
    </row>
    <row r="2055" spans="1:19" x14ac:dyDescent="0.2">
      <c r="A2055" s="205">
        <v>42727.451226851852</v>
      </c>
      <c r="B2055" s="50" t="s">
        <v>127</v>
      </c>
      <c r="D2055" s="204" t="s">
        <v>181</v>
      </c>
      <c r="E2055" s="81">
        <v>351215</v>
      </c>
      <c r="G2055" s="207">
        <v>159</v>
      </c>
      <c r="H2055" s="162">
        <v>2646683</v>
      </c>
      <c r="J2055" s="173" t="s">
        <v>242</v>
      </c>
      <c r="Q2055" s="19"/>
      <c r="R2055" s="19"/>
      <c r="S2055" s="19"/>
    </row>
    <row r="2056" spans="1:19" x14ac:dyDescent="0.2">
      <c r="A2056" s="205">
        <v>42727.497210648151</v>
      </c>
      <c r="B2056" s="50" t="s">
        <v>127</v>
      </c>
      <c r="D2056" s="204" t="s">
        <v>181</v>
      </c>
      <c r="E2056" s="81">
        <v>351215</v>
      </c>
      <c r="G2056" s="207">
        <v>125.64</v>
      </c>
      <c r="H2056" s="162">
        <v>2646195</v>
      </c>
      <c r="J2056" s="173" t="s">
        <v>242</v>
      </c>
      <c r="Q2056" s="19"/>
      <c r="R2056" s="19"/>
      <c r="S2056" s="19"/>
    </row>
    <row r="2057" spans="1:19" x14ac:dyDescent="0.2">
      <c r="A2057" s="208">
        <v>42724.226030092592</v>
      </c>
      <c r="B2057" s="51" t="s">
        <v>127</v>
      </c>
      <c r="C2057" s="19"/>
      <c r="D2057" s="209" t="s">
        <v>184</v>
      </c>
      <c r="E2057" s="82">
        <v>226274</v>
      </c>
      <c r="F2057" s="19"/>
      <c r="G2057" s="19">
        <v>112.68</v>
      </c>
      <c r="H2057" s="161">
        <v>2622870</v>
      </c>
      <c r="I2057" s="19"/>
      <c r="J2057" s="114" t="s">
        <v>179</v>
      </c>
      <c r="K2057" s="19"/>
      <c r="L2057" s="19"/>
      <c r="M2057" s="19"/>
      <c r="N2057" s="19"/>
      <c r="O2057" s="19"/>
      <c r="Q2057" s="19"/>
      <c r="R2057" s="19"/>
      <c r="S2057" s="19"/>
    </row>
    <row r="2058" spans="1:19" x14ac:dyDescent="0.2">
      <c r="A2058" s="208">
        <v>42727.414189814815</v>
      </c>
      <c r="B2058" s="51" t="s">
        <v>127</v>
      </c>
      <c r="C2058" s="19"/>
      <c r="D2058" s="209" t="s">
        <v>184</v>
      </c>
      <c r="E2058" s="82">
        <v>226274</v>
      </c>
      <c r="F2058" s="19"/>
      <c r="G2058" s="19">
        <v>67.14</v>
      </c>
      <c r="H2058" s="161">
        <v>2645610</v>
      </c>
      <c r="I2058" s="19"/>
      <c r="J2058" s="114" t="s">
        <v>179</v>
      </c>
      <c r="K2058" s="19"/>
      <c r="L2058" s="19"/>
      <c r="M2058" s="19"/>
      <c r="N2058" s="19"/>
      <c r="O2058" s="19"/>
      <c r="Q2058" s="19"/>
      <c r="R2058" s="19"/>
      <c r="S2058" s="19"/>
    </row>
    <row r="2059" spans="1:19" s="203" customFormat="1" x14ac:dyDescent="0.2">
      <c r="A2059" s="310">
        <v>42724.166967592595</v>
      </c>
      <c r="B2059" s="67" t="s">
        <v>127</v>
      </c>
      <c r="C2059" s="203" t="s">
        <v>151</v>
      </c>
      <c r="D2059" s="311" t="s">
        <v>243</v>
      </c>
      <c r="E2059" s="75">
        <v>350484</v>
      </c>
      <c r="G2059" s="203">
        <v>43.2</v>
      </c>
      <c r="H2059" s="163">
        <v>2635864</v>
      </c>
      <c r="J2059" s="312" t="s">
        <v>246</v>
      </c>
    </row>
    <row r="2060" spans="1:19" s="203" customFormat="1" x14ac:dyDescent="0.2">
      <c r="A2060" s="310">
        <v>42724.254363425927</v>
      </c>
      <c r="B2060" s="67" t="s">
        <v>127</v>
      </c>
      <c r="C2060" s="203" t="s">
        <v>151</v>
      </c>
      <c r="D2060" s="311" t="s">
        <v>243</v>
      </c>
      <c r="E2060" s="75">
        <v>350484</v>
      </c>
      <c r="G2060" s="203">
        <v>198.24</v>
      </c>
      <c r="H2060" s="163">
        <v>2634975</v>
      </c>
      <c r="J2060" s="312" t="s">
        <v>246</v>
      </c>
    </row>
    <row r="2061" spans="1:19" s="203" customFormat="1" x14ac:dyDescent="0.2">
      <c r="A2061" s="310">
        <v>42724.273333333331</v>
      </c>
      <c r="B2061" s="67" t="s">
        <v>127</v>
      </c>
      <c r="C2061" s="203" t="s">
        <v>151</v>
      </c>
      <c r="D2061" s="311" t="s">
        <v>243</v>
      </c>
      <c r="E2061" s="75">
        <v>350484</v>
      </c>
      <c r="G2061" s="203">
        <v>32.339999999999996</v>
      </c>
      <c r="H2061" s="163">
        <v>2636782</v>
      </c>
      <c r="J2061" s="312" t="s">
        <v>246</v>
      </c>
    </row>
    <row r="2062" spans="1:19" s="203" customFormat="1" x14ac:dyDescent="0.2">
      <c r="A2062" s="310">
        <v>42724.364884259259</v>
      </c>
      <c r="B2062" s="67" t="s">
        <v>127</v>
      </c>
      <c r="C2062" s="203" t="s">
        <v>151</v>
      </c>
      <c r="D2062" s="311" t="s">
        <v>243</v>
      </c>
      <c r="E2062" s="75">
        <v>350484</v>
      </c>
      <c r="G2062" s="203">
        <v>54.81</v>
      </c>
      <c r="H2062" s="163">
        <v>2622827</v>
      </c>
      <c r="J2062" s="312" t="s">
        <v>246</v>
      </c>
    </row>
    <row r="2063" spans="1:19" s="203" customFormat="1" x14ac:dyDescent="0.2">
      <c r="A2063" s="310">
        <v>42727.049675925926</v>
      </c>
      <c r="B2063" s="67" t="s">
        <v>127</v>
      </c>
      <c r="C2063" s="203" t="s">
        <v>151</v>
      </c>
      <c r="D2063" s="311" t="s">
        <v>243</v>
      </c>
      <c r="E2063" s="75">
        <v>350484</v>
      </c>
      <c r="G2063" s="203">
        <v>46.37</v>
      </c>
      <c r="H2063" s="163">
        <v>2646280</v>
      </c>
      <c r="J2063" s="312" t="s">
        <v>246</v>
      </c>
    </row>
    <row r="2064" spans="1:19" s="203" customFormat="1" x14ac:dyDescent="0.2">
      <c r="A2064" s="310">
        <v>42723.228692129633</v>
      </c>
      <c r="B2064" s="203" t="s">
        <v>127</v>
      </c>
      <c r="C2064" s="203" t="s">
        <v>151</v>
      </c>
      <c r="D2064" s="311" t="s">
        <v>214</v>
      </c>
      <c r="E2064" s="75">
        <v>351307</v>
      </c>
      <c r="G2064" s="203">
        <v>49.949999999999996</v>
      </c>
      <c r="H2064" s="163">
        <v>2632506</v>
      </c>
      <c r="J2064" s="312" t="s">
        <v>246</v>
      </c>
    </row>
    <row r="2065" spans="1:19" s="203" customFormat="1" x14ac:dyDescent="0.2">
      <c r="A2065" s="310">
        <v>42724.471562500003</v>
      </c>
      <c r="B2065" s="203" t="s">
        <v>127</v>
      </c>
      <c r="C2065" s="203" t="s">
        <v>151</v>
      </c>
      <c r="D2065" s="311" t="s">
        <v>214</v>
      </c>
      <c r="E2065" s="75">
        <v>351307</v>
      </c>
      <c r="G2065" s="203">
        <v>52.95</v>
      </c>
      <c r="H2065" s="163">
        <v>2632559</v>
      </c>
      <c r="J2065" s="312" t="s">
        <v>246</v>
      </c>
    </row>
    <row r="2066" spans="1:19" s="203" customFormat="1" x14ac:dyDescent="0.2">
      <c r="A2066" s="310">
        <v>42724.190381944441</v>
      </c>
      <c r="B2066" s="203" t="s">
        <v>127</v>
      </c>
      <c r="C2066" s="203" t="s">
        <v>151</v>
      </c>
      <c r="D2066" s="311" t="s">
        <v>213</v>
      </c>
      <c r="E2066" s="75">
        <v>350776</v>
      </c>
      <c r="F2066" s="163"/>
      <c r="G2066" s="163">
        <v>101.22</v>
      </c>
      <c r="H2066" s="163">
        <v>2630774</v>
      </c>
      <c r="J2066" s="312" t="s">
        <v>246</v>
      </c>
    </row>
    <row r="2067" spans="1:19" x14ac:dyDescent="0.2">
      <c r="A2067" s="208">
        <v>42730.092800925922</v>
      </c>
      <c r="B2067" s="19" t="s">
        <v>127</v>
      </c>
      <c r="C2067" s="19"/>
      <c r="D2067" s="204" t="s">
        <v>181</v>
      </c>
      <c r="E2067" s="81">
        <v>351215</v>
      </c>
      <c r="F2067" s="19"/>
      <c r="G2067" s="162">
        <v>118</v>
      </c>
      <c r="H2067" s="162">
        <v>2647512</v>
      </c>
      <c r="I2067" s="19"/>
      <c r="J2067" s="173" t="s">
        <v>242</v>
      </c>
      <c r="K2067" s="19"/>
      <c r="L2067" s="19"/>
      <c r="M2067" s="19"/>
      <c r="N2067" s="19"/>
      <c r="O2067" s="19"/>
      <c r="P2067" s="19"/>
      <c r="Q2067" s="19"/>
      <c r="R2067" s="19"/>
      <c r="S2067" s="19"/>
    </row>
    <row r="2068" spans="1:19" x14ac:dyDescent="0.2">
      <c r="A2068" s="208">
        <v>42730.136932870373</v>
      </c>
      <c r="B2068" s="19" t="s">
        <v>127</v>
      </c>
      <c r="C2068" s="19"/>
      <c r="D2068" s="204" t="s">
        <v>181</v>
      </c>
      <c r="E2068" s="81">
        <v>351215</v>
      </c>
      <c r="F2068" s="19"/>
      <c r="G2068" s="162">
        <v>95.37</v>
      </c>
      <c r="H2068" s="162">
        <v>2648073</v>
      </c>
      <c r="I2068" s="19"/>
      <c r="J2068" s="173" t="s">
        <v>242</v>
      </c>
      <c r="K2068" s="19"/>
      <c r="L2068" s="19"/>
      <c r="M2068" s="19"/>
      <c r="N2068" s="19"/>
      <c r="O2068" s="19"/>
      <c r="P2068" s="19"/>
      <c r="Q2068" s="19"/>
      <c r="R2068" s="19"/>
      <c r="S2068" s="19"/>
    </row>
    <row r="2069" spans="1:19" x14ac:dyDescent="0.2">
      <c r="A2069" s="208">
        <v>42730.452604166669</v>
      </c>
      <c r="B2069" s="19" t="s">
        <v>127</v>
      </c>
      <c r="C2069" s="19"/>
      <c r="D2069" s="204" t="s">
        <v>181</v>
      </c>
      <c r="E2069" s="81">
        <v>351215</v>
      </c>
      <c r="F2069" s="19"/>
      <c r="G2069" s="162">
        <v>265.95999999999998</v>
      </c>
      <c r="H2069" s="162">
        <v>2647424</v>
      </c>
      <c r="I2069" s="19"/>
      <c r="J2069" s="173" t="s">
        <v>242</v>
      </c>
      <c r="K2069" s="19"/>
      <c r="L2069" s="19"/>
      <c r="M2069" s="19"/>
      <c r="N2069" s="19"/>
      <c r="O2069" s="19"/>
      <c r="P2069" s="19"/>
      <c r="Q2069" s="19"/>
      <c r="R2069" s="19"/>
      <c r="S2069" s="19"/>
    </row>
    <row r="2070" spans="1:19" x14ac:dyDescent="0.2">
      <c r="A2070" s="208">
        <v>42731.098634259259</v>
      </c>
      <c r="B2070" s="19" t="s">
        <v>127</v>
      </c>
      <c r="C2070" s="19"/>
      <c r="D2070" s="204" t="s">
        <v>181</v>
      </c>
      <c r="E2070" s="81">
        <v>351215</v>
      </c>
      <c r="F2070" s="19"/>
      <c r="G2070" s="162">
        <v>53</v>
      </c>
      <c r="H2070" s="162">
        <v>2653694</v>
      </c>
      <c r="I2070" s="19"/>
      <c r="J2070" s="173" t="s">
        <v>242</v>
      </c>
      <c r="K2070" s="19"/>
      <c r="L2070" s="19"/>
      <c r="M2070" s="19"/>
      <c r="N2070" s="19"/>
      <c r="O2070" s="19"/>
      <c r="P2070" s="19"/>
      <c r="Q2070" s="19"/>
      <c r="R2070" s="19"/>
      <c r="S2070" s="19"/>
    </row>
    <row r="2071" spans="1:19" x14ac:dyDescent="0.2">
      <c r="A2071" s="208">
        <v>42731.17869212963</v>
      </c>
      <c r="B2071" s="19" t="s">
        <v>127</v>
      </c>
      <c r="C2071" s="19"/>
      <c r="D2071" s="204" t="s">
        <v>181</v>
      </c>
      <c r="E2071" s="81">
        <v>351215</v>
      </c>
      <c r="F2071" s="19"/>
      <c r="G2071" s="162">
        <v>130.54</v>
      </c>
      <c r="H2071" s="162">
        <v>2650602</v>
      </c>
      <c r="I2071" s="19"/>
      <c r="J2071" s="173" t="s">
        <v>242</v>
      </c>
      <c r="K2071" s="19"/>
      <c r="L2071" s="19"/>
      <c r="M2071" s="19"/>
      <c r="N2071" s="19"/>
      <c r="O2071" s="19"/>
      <c r="P2071" s="19"/>
      <c r="Q2071" s="19"/>
      <c r="R2071" s="19"/>
      <c r="S2071" s="19"/>
    </row>
    <row r="2072" spans="1:19" x14ac:dyDescent="0.2">
      <c r="A2072" s="208">
        <v>42731.219525462962</v>
      </c>
      <c r="B2072" s="19" t="s">
        <v>127</v>
      </c>
      <c r="C2072" s="19"/>
      <c r="D2072" s="204" t="s">
        <v>181</v>
      </c>
      <c r="E2072" s="81">
        <v>351215</v>
      </c>
      <c r="F2072" s="19"/>
      <c r="G2072" s="162">
        <v>71.010000000000005</v>
      </c>
      <c r="H2072" s="162">
        <v>2650678</v>
      </c>
      <c r="I2072" s="19"/>
      <c r="J2072" s="173" t="s">
        <v>242</v>
      </c>
      <c r="K2072" s="19"/>
      <c r="L2072" s="19"/>
      <c r="M2072" s="19"/>
      <c r="N2072" s="19"/>
      <c r="O2072" s="19"/>
      <c r="P2072" s="19"/>
      <c r="Q2072" s="19"/>
      <c r="R2072" s="19"/>
      <c r="S2072" s="19"/>
    </row>
    <row r="2073" spans="1:19" x14ac:dyDescent="0.2">
      <c r="A2073" s="208">
        <v>42731.521238425928</v>
      </c>
      <c r="B2073" s="19" t="s">
        <v>127</v>
      </c>
      <c r="C2073" s="19"/>
      <c r="D2073" s="204" t="s">
        <v>181</v>
      </c>
      <c r="E2073" s="81">
        <v>351215</v>
      </c>
      <c r="F2073" s="19"/>
      <c r="G2073" s="162">
        <v>94</v>
      </c>
      <c r="H2073" s="162">
        <v>2649195</v>
      </c>
      <c r="I2073" s="19"/>
      <c r="J2073" s="173" t="s">
        <v>242</v>
      </c>
      <c r="K2073" s="19"/>
      <c r="L2073" s="19"/>
      <c r="M2073" s="19"/>
      <c r="N2073" s="19"/>
      <c r="O2073" s="19"/>
      <c r="P2073" s="19"/>
      <c r="Q2073" s="19"/>
      <c r="R2073" s="19"/>
      <c r="S2073" s="19"/>
    </row>
    <row r="2074" spans="1:19" x14ac:dyDescent="0.2">
      <c r="A2074" s="208">
        <v>42732.048576388886</v>
      </c>
      <c r="B2074" s="19" t="s">
        <v>127</v>
      </c>
      <c r="C2074" s="19"/>
      <c r="D2074" s="204" t="s">
        <v>181</v>
      </c>
      <c r="E2074" s="81">
        <v>351215</v>
      </c>
      <c r="F2074" s="19"/>
      <c r="G2074" s="162">
        <v>106.1</v>
      </c>
      <c r="H2074" s="162">
        <v>2654730</v>
      </c>
      <c r="I2074" s="19"/>
      <c r="J2074" s="173" t="s">
        <v>242</v>
      </c>
      <c r="K2074" s="19"/>
      <c r="L2074" s="19"/>
      <c r="M2074" s="19"/>
      <c r="N2074" s="19"/>
      <c r="O2074" s="19"/>
      <c r="P2074" s="19"/>
      <c r="Q2074" s="19"/>
      <c r="R2074" s="19"/>
      <c r="S2074" s="19"/>
    </row>
    <row r="2075" spans="1:19" x14ac:dyDescent="0.2">
      <c r="A2075" s="208">
        <v>42732.069409722222</v>
      </c>
      <c r="B2075" s="19" t="s">
        <v>127</v>
      </c>
      <c r="C2075" s="19"/>
      <c r="D2075" s="204" t="s">
        <v>181</v>
      </c>
      <c r="E2075" s="81">
        <v>351215</v>
      </c>
      <c r="F2075" s="19"/>
      <c r="G2075" s="162">
        <v>58.85</v>
      </c>
      <c r="H2075" s="162">
        <v>2655037</v>
      </c>
      <c r="I2075" s="19"/>
      <c r="J2075" s="173" t="s">
        <v>242</v>
      </c>
      <c r="K2075" s="19"/>
      <c r="L2075" s="19"/>
      <c r="M2075" s="19"/>
      <c r="N2075" s="19"/>
      <c r="O2075" s="19"/>
      <c r="P2075" s="19"/>
      <c r="Q2075" s="19"/>
      <c r="R2075" s="19"/>
      <c r="S2075" s="19"/>
    </row>
    <row r="2076" spans="1:19" x14ac:dyDescent="0.2">
      <c r="A2076" s="208">
        <v>42732.508958333332</v>
      </c>
      <c r="B2076" s="19" t="s">
        <v>127</v>
      </c>
      <c r="C2076" s="19"/>
      <c r="D2076" s="204" t="s">
        <v>181</v>
      </c>
      <c r="E2076" s="81">
        <v>351215</v>
      </c>
      <c r="F2076" s="19"/>
      <c r="G2076" s="162">
        <v>22.95</v>
      </c>
      <c r="H2076" s="162">
        <v>2656728</v>
      </c>
      <c r="I2076" s="19"/>
      <c r="J2076" s="173" t="s">
        <v>242</v>
      </c>
      <c r="K2076" s="19"/>
      <c r="L2076" s="19"/>
      <c r="M2076" s="19"/>
      <c r="N2076" s="19"/>
      <c r="O2076" s="19"/>
      <c r="P2076" s="19"/>
      <c r="Q2076" s="19"/>
      <c r="R2076" s="19"/>
      <c r="S2076" s="19"/>
    </row>
    <row r="2077" spans="1:19" x14ac:dyDescent="0.2">
      <c r="A2077" s="208">
        <v>42733.508009259262</v>
      </c>
      <c r="B2077" s="19" t="s">
        <v>127</v>
      </c>
      <c r="C2077" s="19"/>
      <c r="D2077" s="204" t="s">
        <v>181</v>
      </c>
      <c r="E2077" s="81">
        <v>351215</v>
      </c>
      <c r="F2077" s="19"/>
      <c r="G2077" s="162">
        <v>71.17</v>
      </c>
      <c r="H2077" s="162">
        <v>2661388</v>
      </c>
      <c r="I2077" s="19"/>
      <c r="J2077" s="173" t="s">
        <v>242</v>
      </c>
      <c r="K2077" s="19"/>
      <c r="L2077" s="19"/>
      <c r="M2077" s="19"/>
      <c r="N2077" s="19"/>
      <c r="O2077" s="19"/>
      <c r="P2077" s="19"/>
      <c r="Q2077" s="19"/>
      <c r="R2077" s="19"/>
      <c r="S2077" s="19"/>
    </row>
    <row r="2078" spans="1:19" x14ac:dyDescent="0.2">
      <c r="A2078" s="118"/>
      <c r="B2078" s="19"/>
      <c r="C2078" s="19"/>
      <c r="D2078" s="210"/>
      <c r="E2078" s="29"/>
      <c r="F2078" s="19"/>
      <c r="G2078" s="141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  <c r="S2078" s="19"/>
    </row>
    <row r="2079" spans="1:19" x14ac:dyDescent="0.2">
      <c r="A2079" s="119"/>
      <c r="B2079" s="19"/>
      <c r="D2079" s="115"/>
      <c r="E2079" s="83"/>
      <c r="G2079" s="160"/>
      <c r="H2079" s="160"/>
      <c r="J2079" s="211"/>
      <c r="K2079" s="45"/>
      <c r="L2079" s="45"/>
    </row>
    <row r="2080" spans="1:19" x14ac:dyDescent="0.2">
      <c r="A2080" s="119"/>
      <c r="B2080" s="19"/>
      <c r="D2080" s="115"/>
      <c r="E2080" s="83"/>
      <c r="G2080" s="160"/>
      <c r="H2080" s="160"/>
      <c r="J2080" s="211"/>
      <c r="K2080" s="45"/>
      <c r="L2080" s="45"/>
    </row>
    <row r="2081" spans="1:12" x14ac:dyDescent="0.2">
      <c r="A2081" s="119"/>
      <c r="B2081" s="19"/>
      <c r="D2081" s="115"/>
      <c r="E2081" s="83"/>
      <c r="G2081" s="160"/>
      <c r="H2081" s="160"/>
      <c r="J2081" s="211"/>
      <c r="K2081" s="45"/>
      <c r="L2081" s="45"/>
    </row>
    <row r="2082" spans="1:12" x14ac:dyDescent="0.2">
      <c r="A2082" s="119"/>
      <c r="B2082" s="19"/>
      <c r="D2082" s="115"/>
      <c r="E2082" s="83"/>
      <c r="G2082" s="160"/>
      <c r="H2082" s="160"/>
      <c r="J2082" s="211"/>
      <c r="K2082" s="45"/>
      <c r="L2082" s="45"/>
    </row>
    <row r="2083" spans="1:12" x14ac:dyDescent="0.2">
      <c r="A2083" s="119"/>
      <c r="B2083" s="19"/>
      <c r="D2083" s="115"/>
      <c r="E2083" s="83"/>
      <c r="G2083" s="160"/>
      <c r="H2083" s="160"/>
      <c r="J2083" s="211"/>
      <c r="K2083" s="45"/>
      <c r="L2083" s="45"/>
    </row>
    <row r="2084" spans="1:12" x14ac:dyDescent="0.2">
      <c r="A2084" s="119"/>
      <c r="B2084" s="19"/>
      <c r="D2084" s="115"/>
      <c r="E2084" s="83"/>
      <c r="G2084" s="160"/>
      <c r="H2084" s="160"/>
      <c r="J2084" s="211"/>
      <c r="K2084" s="45"/>
      <c r="L2084" s="45"/>
    </row>
    <row r="2085" spans="1:12" x14ac:dyDescent="0.2">
      <c r="A2085" s="119"/>
      <c r="B2085" s="19"/>
      <c r="D2085" s="115"/>
      <c r="E2085" s="83"/>
      <c r="G2085" s="160"/>
      <c r="H2085" s="160"/>
      <c r="J2085" s="211"/>
      <c r="K2085" s="45"/>
      <c r="L2085" s="45"/>
    </row>
    <row r="2086" spans="1:12" x14ac:dyDescent="0.2">
      <c r="A2086" s="119"/>
      <c r="B2086" s="19"/>
      <c r="D2086" s="115"/>
      <c r="E2086" s="83"/>
      <c r="G2086" s="160"/>
      <c r="H2086" s="160"/>
      <c r="J2086" s="211"/>
      <c r="K2086" s="45"/>
      <c r="L2086" s="45"/>
    </row>
    <row r="2087" spans="1:12" x14ac:dyDescent="0.2">
      <c r="A2087" s="119"/>
      <c r="B2087" s="19"/>
      <c r="D2087" s="115"/>
      <c r="E2087" s="83"/>
      <c r="G2087" s="160"/>
      <c r="H2087" s="160"/>
      <c r="J2087" s="211"/>
      <c r="K2087" s="45"/>
      <c r="L2087" s="45"/>
    </row>
    <row r="2088" spans="1:12" x14ac:dyDescent="0.2">
      <c r="A2088" s="119"/>
      <c r="B2088" s="19"/>
      <c r="D2088" s="115"/>
      <c r="E2088" s="83"/>
      <c r="G2088" s="160"/>
      <c r="H2088" s="160"/>
      <c r="J2088" s="211"/>
      <c r="K2088" s="45"/>
      <c r="L2088" s="45"/>
    </row>
    <row r="2089" spans="1:12" x14ac:dyDescent="0.2">
      <c r="A2089" s="119"/>
      <c r="B2089" s="19"/>
      <c r="D2089" s="115"/>
      <c r="E2089" s="83"/>
      <c r="G2089" s="160"/>
      <c r="H2089" s="160"/>
      <c r="J2089" s="211"/>
      <c r="K2089" s="45"/>
      <c r="L2089" s="45"/>
    </row>
    <row r="2090" spans="1:12" x14ac:dyDescent="0.2">
      <c r="A2090" s="119"/>
      <c r="B2090" s="19"/>
      <c r="D2090" s="115"/>
      <c r="E2090" s="83"/>
      <c r="G2090" s="160"/>
      <c r="H2090" s="160"/>
      <c r="J2090" s="211"/>
      <c r="K2090" s="45"/>
      <c r="L2090" s="45"/>
    </row>
    <row r="2091" spans="1:12" x14ac:dyDescent="0.2">
      <c r="A2091" s="119"/>
      <c r="B2091" s="19"/>
      <c r="D2091" s="115"/>
      <c r="E2091" s="83"/>
      <c r="G2091" s="160"/>
      <c r="H2091" s="160"/>
      <c r="J2091" s="211"/>
      <c r="K2091" s="45"/>
      <c r="L2091" s="45"/>
    </row>
    <row r="2092" spans="1:12" x14ac:dyDescent="0.2">
      <c r="A2092" s="119"/>
      <c r="B2092" s="19"/>
      <c r="D2092" s="115"/>
      <c r="E2092" s="83"/>
      <c r="G2092" s="160"/>
      <c r="H2092" s="160"/>
      <c r="J2092" s="211"/>
      <c r="K2092" s="45"/>
      <c r="L2092" s="45"/>
    </row>
    <row r="2093" spans="1:12" x14ac:dyDescent="0.2">
      <c r="A2093" s="119"/>
      <c r="B2093" s="19"/>
      <c r="D2093" s="115"/>
      <c r="E2093" s="83"/>
      <c r="G2093" s="160"/>
      <c r="H2093" s="160"/>
      <c r="J2093" s="211"/>
      <c r="K2093" s="45"/>
      <c r="L2093" s="45"/>
    </row>
    <row r="2094" spans="1:12" x14ac:dyDescent="0.2">
      <c r="A2094" s="119"/>
      <c r="B2094" s="19"/>
      <c r="D2094" s="115"/>
      <c r="E2094" s="83"/>
      <c r="G2094" s="160"/>
      <c r="H2094" s="160"/>
      <c r="J2094" s="211"/>
      <c r="K2094" s="45"/>
      <c r="L2094" s="45"/>
    </row>
    <row r="2095" spans="1:12" x14ac:dyDescent="0.2">
      <c r="A2095" s="119"/>
      <c r="B2095" s="19"/>
      <c r="D2095" s="115"/>
      <c r="E2095" s="83"/>
      <c r="G2095" s="160"/>
      <c r="H2095" s="160"/>
      <c r="J2095" s="211"/>
      <c r="K2095" s="45"/>
      <c r="L2095" s="45"/>
    </row>
    <row r="2096" spans="1:12" x14ac:dyDescent="0.2">
      <c r="A2096" s="119"/>
      <c r="B2096" s="19"/>
      <c r="D2096" s="115"/>
      <c r="E2096" s="83"/>
      <c r="G2096" s="160"/>
      <c r="H2096" s="160"/>
      <c r="J2096" s="211"/>
      <c r="K2096" s="45"/>
      <c r="L2096" s="45"/>
    </row>
    <row r="2097" spans="1:15" x14ac:dyDescent="0.2">
      <c r="A2097" s="119"/>
      <c r="B2097" s="19"/>
      <c r="D2097" s="115"/>
      <c r="E2097" s="83"/>
      <c r="G2097" s="160"/>
      <c r="H2097" s="160"/>
      <c r="J2097" s="211"/>
      <c r="K2097" s="45"/>
      <c r="L2097" s="45"/>
    </row>
    <row r="2098" spans="1:15" x14ac:dyDescent="0.2">
      <c r="A2098" s="119"/>
      <c r="B2098" s="19"/>
      <c r="D2098" s="115"/>
      <c r="E2098" s="83"/>
      <c r="G2098" s="160"/>
      <c r="H2098" s="160"/>
      <c r="J2098" s="211"/>
      <c r="K2098" s="45"/>
      <c r="L2098" s="45"/>
    </row>
    <row r="2099" spans="1:15" x14ac:dyDescent="0.2">
      <c r="A2099" s="119"/>
      <c r="B2099" s="19"/>
      <c r="D2099" s="115"/>
      <c r="E2099" s="83"/>
      <c r="G2099" s="160"/>
      <c r="H2099" s="160"/>
      <c r="J2099" s="211"/>
      <c r="K2099" s="45"/>
      <c r="L2099" s="45"/>
    </row>
    <row r="2100" spans="1:15" x14ac:dyDescent="0.2">
      <c r="A2100" s="119"/>
      <c r="B2100" s="19"/>
      <c r="D2100" s="115"/>
      <c r="E2100" s="83"/>
      <c r="G2100" s="160"/>
      <c r="H2100" s="160"/>
      <c r="J2100" s="211"/>
      <c r="K2100" s="45"/>
      <c r="L2100" s="45"/>
    </row>
    <row r="2101" spans="1:15" x14ac:dyDescent="0.2">
      <c r="A2101" s="119"/>
      <c r="B2101" s="19"/>
      <c r="D2101" s="115"/>
      <c r="E2101" s="83"/>
      <c r="G2101" s="160"/>
      <c r="H2101" s="160"/>
      <c r="J2101" s="211"/>
      <c r="K2101" s="45"/>
      <c r="L2101" s="45"/>
    </row>
    <row r="2102" spans="1:15" x14ac:dyDescent="0.2">
      <c r="A2102" s="119"/>
      <c r="B2102" s="19"/>
      <c r="D2102" s="115"/>
      <c r="E2102" s="83"/>
      <c r="G2102" s="160"/>
      <c r="H2102" s="160"/>
      <c r="J2102" s="211"/>
      <c r="K2102" s="45"/>
      <c r="L2102" s="45"/>
    </row>
    <row r="2103" spans="1:15" x14ac:dyDescent="0.2">
      <c r="A2103" s="119"/>
      <c r="B2103" s="19"/>
      <c r="D2103" s="115"/>
      <c r="E2103" s="83"/>
      <c r="H2103" s="160"/>
      <c r="J2103" s="114"/>
      <c r="K2103" s="19"/>
      <c r="L2103" s="19"/>
      <c r="M2103" s="19"/>
      <c r="N2103" s="19"/>
      <c r="O2103" s="19"/>
    </row>
    <row r="2104" spans="1:15" x14ac:dyDescent="0.2">
      <c r="A2104" s="119"/>
      <c r="B2104" s="19"/>
      <c r="D2104" s="115"/>
      <c r="E2104" s="83"/>
      <c r="H2104" s="160"/>
      <c r="J2104" s="114"/>
      <c r="K2104" s="19"/>
      <c r="L2104" s="19"/>
      <c r="M2104" s="19"/>
      <c r="N2104" s="19"/>
      <c r="O2104" s="19"/>
    </row>
    <row r="2105" spans="1:15" x14ac:dyDescent="0.2">
      <c r="A2105" s="119"/>
      <c r="B2105" s="19"/>
      <c r="D2105" s="115"/>
      <c r="E2105" s="83"/>
      <c r="H2105" s="160"/>
      <c r="J2105" s="114"/>
      <c r="K2105" s="19"/>
      <c r="L2105" s="19"/>
      <c r="M2105" s="19"/>
      <c r="N2105" s="19"/>
      <c r="O2105" s="19"/>
    </row>
    <row r="2106" spans="1:15" x14ac:dyDescent="0.2">
      <c r="A2106" s="119"/>
      <c r="B2106" s="19"/>
      <c r="D2106" s="115"/>
      <c r="E2106" s="83"/>
      <c r="H2106" s="160"/>
      <c r="J2106" s="114"/>
      <c r="K2106" s="19"/>
      <c r="L2106" s="19"/>
      <c r="M2106" s="19"/>
      <c r="N2106" s="19"/>
      <c r="O2106" s="19"/>
    </row>
    <row r="2107" spans="1:15" x14ac:dyDescent="0.2">
      <c r="A2107" s="119"/>
      <c r="B2107" s="19"/>
      <c r="D2107" s="115"/>
      <c r="E2107" s="83"/>
      <c r="H2107" s="160"/>
      <c r="J2107" s="114"/>
      <c r="K2107" s="19"/>
      <c r="L2107" s="19"/>
      <c r="M2107" s="19"/>
      <c r="N2107" s="19"/>
      <c r="O2107" s="19"/>
    </row>
    <row r="2108" spans="1:15" x14ac:dyDescent="0.2">
      <c r="A2108" s="119"/>
      <c r="B2108" s="19"/>
      <c r="D2108" s="115"/>
      <c r="E2108" s="83"/>
      <c r="H2108" s="160"/>
      <c r="J2108" s="114"/>
      <c r="K2108" s="19"/>
      <c r="L2108" s="19"/>
      <c r="M2108" s="19"/>
      <c r="N2108" s="19"/>
      <c r="O2108" s="19"/>
    </row>
    <row r="2109" spans="1:15" x14ac:dyDescent="0.2">
      <c r="A2109" s="119"/>
      <c r="B2109" s="19"/>
      <c r="D2109" s="115"/>
      <c r="E2109" s="83"/>
      <c r="H2109" s="160"/>
      <c r="J2109" s="114"/>
      <c r="K2109" s="19"/>
      <c r="L2109" s="19"/>
      <c r="M2109" s="19"/>
      <c r="N2109" s="19"/>
      <c r="O2109" s="19"/>
    </row>
    <row r="2110" spans="1:15" x14ac:dyDescent="0.2">
      <c r="A2110" s="119"/>
      <c r="B2110" s="19"/>
      <c r="D2110" s="115"/>
      <c r="E2110" s="83"/>
      <c r="H2110" s="160"/>
      <c r="J2110" s="114"/>
      <c r="K2110" s="19"/>
      <c r="L2110" s="19"/>
      <c r="M2110" s="19"/>
      <c r="N2110" s="19"/>
      <c r="O2110" s="19"/>
    </row>
    <row r="2111" spans="1:15" x14ac:dyDescent="0.2">
      <c r="A2111" s="119"/>
      <c r="B2111" s="19"/>
      <c r="D2111" s="115"/>
      <c r="E2111" s="83"/>
      <c r="H2111" s="160"/>
      <c r="J2111" s="114"/>
      <c r="K2111" s="19"/>
      <c r="L2111" s="19"/>
      <c r="M2111" s="19"/>
      <c r="N2111" s="19"/>
      <c r="O2111" s="19"/>
    </row>
    <row r="2112" spans="1:15" x14ac:dyDescent="0.2">
      <c r="A2112" s="119"/>
      <c r="B2112" s="19"/>
      <c r="D2112" s="115"/>
      <c r="E2112" s="83"/>
      <c r="H2112" s="160"/>
      <c r="J2112" s="114"/>
      <c r="K2112" s="19"/>
      <c r="L2112" s="19"/>
      <c r="M2112" s="19"/>
      <c r="N2112" s="19"/>
      <c r="O2112" s="19"/>
    </row>
    <row r="2113" spans="1:19" x14ac:dyDescent="0.2">
      <c r="A2113" s="119"/>
      <c r="B2113" s="19"/>
      <c r="D2113" s="115"/>
      <c r="E2113" s="83"/>
      <c r="H2113" s="160"/>
      <c r="J2113" s="114"/>
      <c r="K2113" s="19"/>
      <c r="L2113" s="19"/>
      <c r="M2113" s="19"/>
      <c r="N2113" s="19"/>
      <c r="O2113" s="19"/>
    </row>
    <row r="2114" spans="1:19" x14ac:dyDescent="0.2">
      <c r="A2114" s="119"/>
      <c r="B2114" s="19"/>
      <c r="D2114" s="115"/>
      <c r="E2114" s="83"/>
      <c r="H2114" s="160"/>
      <c r="J2114" s="114"/>
      <c r="K2114" s="19"/>
      <c r="L2114" s="19"/>
      <c r="M2114" s="19"/>
      <c r="N2114" s="19"/>
      <c r="O2114" s="19"/>
    </row>
    <row r="2115" spans="1:19" x14ac:dyDescent="0.2">
      <c r="A2115" s="119"/>
      <c r="B2115" s="19"/>
      <c r="D2115" s="115"/>
      <c r="E2115" s="83"/>
      <c r="H2115" s="160"/>
      <c r="J2115" s="114"/>
      <c r="K2115" s="19"/>
      <c r="L2115" s="19"/>
      <c r="M2115" s="19"/>
      <c r="N2115" s="19"/>
      <c r="O2115" s="19"/>
    </row>
    <row r="2116" spans="1:19" x14ac:dyDescent="0.2">
      <c r="A2116" s="103"/>
      <c r="B2116" s="19"/>
      <c r="C2116" s="19"/>
      <c r="D2116" s="20"/>
      <c r="E2116" s="29"/>
      <c r="F2116" s="19"/>
      <c r="G2116" s="141"/>
      <c r="H2116" s="19"/>
      <c r="I2116" s="19"/>
      <c r="J2116" s="114"/>
      <c r="K2116" s="19"/>
      <c r="L2116" s="19"/>
      <c r="M2116" s="19"/>
      <c r="N2116" s="19"/>
      <c r="O2116" s="19"/>
      <c r="P2116" s="19"/>
      <c r="Q2116" s="19"/>
      <c r="R2116" s="19"/>
      <c r="S2116" s="19"/>
    </row>
    <row r="2117" spans="1:19" x14ac:dyDescent="0.2">
      <c r="A2117" s="103"/>
      <c r="B2117" s="19"/>
      <c r="C2117" s="19"/>
      <c r="D2117" s="20"/>
      <c r="E2117" s="29"/>
      <c r="F2117" s="19"/>
      <c r="G2117" s="141"/>
      <c r="H2117" s="19"/>
      <c r="I2117" s="19"/>
      <c r="J2117" s="114"/>
      <c r="K2117" s="19"/>
      <c r="L2117" s="19"/>
      <c r="M2117" s="19"/>
      <c r="N2117" s="19"/>
      <c r="O2117" s="19"/>
      <c r="P2117" s="19"/>
      <c r="Q2117" s="19"/>
      <c r="R2117" s="19"/>
      <c r="S2117" s="19"/>
    </row>
    <row r="2118" spans="1:19" x14ac:dyDescent="0.2">
      <c r="A2118" s="103"/>
      <c r="B2118" s="19"/>
      <c r="C2118" s="19"/>
      <c r="D2118" s="20"/>
      <c r="E2118" s="29"/>
      <c r="F2118" s="19"/>
      <c r="G2118" s="141"/>
      <c r="H2118" s="19"/>
      <c r="I2118" s="19"/>
      <c r="J2118" s="114"/>
      <c r="K2118" s="19"/>
      <c r="L2118" s="19"/>
      <c r="M2118" s="19"/>
      <c r="N2118" s="19"/>
      <c r="O2118" s="19"/>
      <c r="P2118" s="19"/>
      <c r="Q2118" s="19"/>
      <c r="R2118" s="19"/>
      <c r="S2118" s="19"/>
    </row>
    <row r="2119" spans="1:19" x14ac:dyDescent="0.2">
      <c r="A2119" s="103"/>
      <c r="B2119" s="19"/>
      <c r="C2119" s="19"/>
      <c r="D2119" s="20"/>
      <c r="E2119" s="29"/>
      <c r="F2119" s="19"/>
      <c r="G2119" s="141"/>
      <c r="H2119" s="19"/>
      <c r="I2119" s="19"/>
      <c r="J2119" s="114"/>
      <c r="K2119" s="19"/>
      <c r="L2119" s="19"/>
      <c r="M2119" s="19"/>
      <c r="N2119" s="19"/>
      <c r="O2119" s="19"/>
      <c r="P2119" s="19"/>
      <c r="Q2119" s="19"/>
      <c r="R2119" s="19"/>
      <c r="S2119" s="19"/>
    </row>
    <row r="2120" spans="1:19" x14ac:dyDescent="0.2">
      <c r="A2120" s="103"/>
      <c r="B2120" s="19"/>
      <c r="C2120" s="19"/>
      <c r="D2120" s="20"/>
      <c r="E2120" s="29"/>
      <c r="F2120" s="19"/>
      <c r="G2120" s="141"/>
      <c r="H2120" s="19"/>
      <c r="I2120" s="19"/>
      <c r="J2120" s="114"/>
      <c r="K2120" s="19"/>
      <c r="L2120" s="19"/>
      <c r="M2120" s="19"/>
      <c r="N2120" s="19"/>
      <c r="O2120" s="19"/>
      <c r="P2120" s="19"/>
      <c r="Q2120" s="19"/>
      <c r="R2120" s="19"/>
      <c r="S2120" s="19"/>
    </row>
    <row r="2121" spans="1:19" x14ac:dyDescent="0.2">
      <c r="A2121" s="103"/>
      <c r="B2121" s="19"/>
      <c r="C2121" s="19"/>
      <c r="D2121" s="20"/>
      <c r="E2121" s="29"/>
      <c r="F2121" s="19"/>
      <c r="G2121" s="141"/>
      <c r="H2121" s="19"/>
      <c r="I2121" s="19"/>
      <c r="J2121" s="114"/>
      <c r="K2121" s="19"/>
      <c r="L2121" s="19"/>
      <c r="M2121" s="19"/>
      <c r="N2121" s="19"/>
      <c r="O2121" s="19"/>
      <c r="P2121" s="19"/>
      <c r="Q2121" s="19"/>
      <c r="R2121" s="19"/>
      <c r="S2121" s="19"/>
    </row>
    <row r="2122" spans="1:19" x14ac:dyDescent="0.2">
      <c r="A2122" s="103"/>
      <c r="B2122" s="19"/>
      <c r="C2122" s="19"/>
      <c r="D2122" s="20"/>
      <c r="E2122" s="29"/>
      <c r="F2122" s="19"/>
      <c r="G2122" s="141"/>
      <c r="H2122" s="19"/>
      <c r="I2122" s="19"/>
      <c r="J2122" s="114"/>
      <c r="K2122" s="19"/>
      <c r="L2122" s="19"/>
      <c r="M2122" s="19"/>
      <c r="N2122" s="19"/>
      <c r="O2122" s="19"/>
      <c r="P2122" s="19"/>
      <c r="Q2122" s="19"/>
      <c r="R2122" s="19"/>
      <c r="S2122" s="19"/>
    </row>
    <row r="2123" spans="1:19" x14ac:dyDescent="0.2">
      <c r="A2123" s="7"/>
      <c r="B2123" s="19"/>
      <c r="C2123" s="19"/>
      <c r="D2123" s="112"/>
      <c r="E2123" s="29"/>
      <c r="F2123" s="29"/>
      <c r="G2123" s="36"/>
      <c r="H2123" s="19"/>
      <c r="I2123" s="19"/>
      <c r="J2123" s="27"/>
      <c r="K2123" s="19"/>
      <c r="L2123" s="19"/>
      <c r="M2123" s="19"/>
      <c r="N2123" s="19"/>
      <c r="O2123" s="19"/>
      <c r="P2123" s="19"/>
      <c r="Q2123" s="19"/>
      <c r="R2123" s="19"/>
      <c r="S2123" s="19"/>
    </row>
    <row r="2124" spans="1:19" x14ac:dyDescent="0.2">
      <c r="A2124" s="118"/>
      <c r="B2124" s="19"/>
      <c r="C2124" s="19"/>
      <c r="D2124" s="112"/>
      <c r="E2124" s="29"/>
      <c r="F2124" s="56"/>
      <c r="G2124" s="36"/>
      <c r="H2124" s="19"/>
      <c r="I2124" s="19"/>
      <c r="J2124" s="29"/>
      <c r="K2124" s="19"/>
      <c r="L2124" s="19"/>
      <c r="M2124" s="19"/>
      <c r="N2124" s="19"/>
      <c r="O2124" s="19"/>
      <c r="P2124" s="19"/>
      <c r="Q2124" s="19"/>
      <c r="R2124" s="19"/>
      <c r="S2124" s="19"/>
    </row>
    <row r="2125" spans="1:19" x14ac:dyDescent="0.2">
      <c r="A2125" s="118"/>
      <c r="B2125" s="19"/>
      <c r="C2125" s="19"/>
      <c r="D2125" s="25"/>
      <c r="E2125" s="29"/>
      <c r="F2125" s="56"/>
      <c r="G2125" s="36"/>
      <c r="H2125" s="19"/>
      <c r="I2125" s="19"/>
      <c r="J2125" s="29"/>
      <c r="K2125" s="19"/>
      <c r="L2125" s="19"/>
      <c r="M2125" s="19"/>
      <c r="N2125" s="19"/>
      <c r="O2125" s="19"/>
      <c r="P2125" s="19"/>
      <c r="Q2125" s="19"/>
      <c r="R2125" s="19"/>
      <c r="S2125" s="19"/>
    </row>
    <row r="2126" spans="1:19" x14ac:dyDescent="0.2">
      <c r="A2126" s="119"/>
      <c r="D2126" s="60"/>
      <c r="G2126" s="97"/>
      <c r="H2126" s="113"/>
      <c r="J2126" s="113"/>
    </row>
    <row r="2127" spans="1:19" x14ac:dyDescent="0.2">
      <c r="A2127" s="119"/>
      <c r="D2127" s="60"/>
      <c r="G2127" s="97"/>
      <c r="H2127" s="113"/>
      <c r="J2127" s="113"/>
    </row>
    <row r="2128" spans="1:19" x14ac:dyDescent="0.2">
      <c r="A2128" s="119"/>
      <c r="D2128" s="60"/>
      <c r="G2128" s="97"/>
      <c r="H2128" s="113"/>
      <c r="J2128" s="113"/>
    </row>
    <row r="2129" spans="1:10" x14ac:dyDescent="0.2">
      <c r="A2129" s="119"/>
      <c r="D2129" s="60"/>
      <c r="G2129" s="97"/>
      <c r="H2129" s="113"/>
      <c r="J2129" s="113"/>
    </row>
    <row r="2130" spans="1:10" x14ac:dyDescent="0.2">
      <c r="A2130" s="119"/>
      <c r="D2130" s="60"/>
      <c r="G2130" s="97"/>
      <c r="H2130" s="113"/>
      <c r="J2130" s="113"/>
    </row>
    <row r="2131" spans="1:10" x14ac:dyDescent="0.2">
      <c r="A2131" s="119"/>
      <c r="D2131" s="60"/>
      <c r="G2131" s="97"/>
      <c r="H2131" s="113"/>
      <c r="J2131" s="113"/>
    </row>
    <row r="2132" spans="1:10" x14ac:dyDescent="0.2">
      <c r="A2132" s="119"/>
      <c r="D2132" s="60"/>
      <c r="G2132" s="97"/>
      <c r="H2132" s="113"/>
      <c r="J2132" s="113"/>
    </row>
    <row r="2133" spans="1:10" x14ac:dyDescent="0.2">
      <c r="A2133" s="119"/>
      <c r="D2133" s="60"/>
      <c r="G2133" s="97"/>
      <c r="H2133" s="113"/>
      <c r="J2133" s="113"/>
    </row>
    <row r="2134" spans="1:10" ht="15.95" customHeight="1" x14ac:dyDescent="0.2">
      <c r="A2134" s="119"/>
      <c r="D2134" s="60"/>
      <c r="G2134" s="97"/>
      <c r="H2134" s="113"/>
      <c r="J2134" s="113"/>
    </row>
    <row r="2135" spans="1:10" x14ac:dyDescent="0.2">
      <c r="A2135" s="119"/>
      <c r="D2135" s="60"/>
      <c r="G2135" s="97"/>
      <c r="H2135" s="113"/>
      <c r="J2135" s="113"/>
    </row>
    <row r="2136" spans="1:10" x14ac:dyDescent="0.2">
      <c r="A2136" s="119"/>
      <c r="D2136" s="60"/>
      <c r="G2136" s="97"/>
      <c r="H2136" s="113"/>
      <c r="J2136" s="113"/>
    </row>
    <row r="2137" spans="1:10" x14ac:dyDescent="0.2">
      <c r="A2137" s="119"/>
      <c r="D2137" s="60"/>
      <c r="G2137" s="97"/>
      <c r="H2137" s="113"/>
      <c r="J2137" s="113"/>
    </row>
    <row r="2138" spans="1:10" x14ac:dyDescent="0.2">
      <c r="A2138" s="119"/>
      <c r="D2138" s="60"/>
      <c r="G2138" s="97"/>
      <c r="H2138" s="113"/>
      <c r="J2138" s="113"/>
    </row>
    <row r="2139" spans="1:10" x14ac:dyDescent="0.2">
      <c r="A2139" s="119"/>
      <c r="D2139" s="60"/>
      <c r="G2139" s="97"/>
      <c r="H2139" s="113"/>
      <c r="J2139" s="113"/>
    </row>
    <row r="2140" spans="1:10" x14ac:dyDescent="0.2">
      <c r="A2140" s="119"/>
      <c r="D2140" s="60"/>
      <c r="G2140" s="97"/>
      <c r="H2140" s="113"/>
      <c r="J2140" s="113"/>
    </row>
    <row r="2141" spans="1:10" x14ac:dyDescent="0.2">
      <c r="A2141" s="119"/>
      <c r="D2141" s="60"/>
      <c r="G2141" s="97"/>
      <c r="H2141" s="113"/>
      <c r="J2141" s="113"/>
    </row>
    <row r="2142" spans="1:10" x14ac:dyDescent="0.2">
      <c r="A2142" s="119"/>
      <c r="D2142" s="60"/>
      <c r="G2142" s="97"/>
      <c r="H2142" s="113"/>
      <c r="J2142" s="113"/>
    </row>
    <row r="2143" spans="1:10" x14ac:dyDescent="0.2">
      <c r="A2143" s="119"/>
      <c r="D2143" s="60"/>
      <c r="G2143" s="164"/>
      <c r="H2143" s="113"/>
      <c r="J2143" s="114"/>
    </row>
    <row r="2144" spans="1:10" x14ac:dyDescent="0.2">
      <c r="A2144" s="119"/>
      <c r="D2144" s="60"/>
      <c r="G2144" s="164"/>
      <c r="H2144" s="113"/>
      <c r="J2144" s="114"/>
    </row>
    <row r="2145" spans="1:14" x14ac:dyDescent="0.2">
      <c r="A2145" s="119"/>
      <c r="D2145" s="60"/>
      <c r="G2145" s="164"/>
      <c r="H2145" s="113"/>
      <c r="J2145" s="114"/>
    </row>
    <row r="2146" spans="1:14" x14ac:dyDescent="0.2">
      <c r="A2146" s="119"/>
      <c r="D2146" s="60"/>
      <c r="G2146" s="164"/>
      <c r="H2146" s="113"/>
      <c r="J2146" s="114"/>
    </row>
    <row r="2147" spans="1:14" x14ac:dyDescent="0.2">
      <c r="A2147" s="119"/>
      <c r="D2147" s="60"/>
      <c r="G2147" s="164"/>
      <c r="H2147" s="113"/>
      <c r="J2147" s="114"/>
    </row>
    <row r="2148" spans="1:14" x14ac:dyDescent="0.2">
      <c r="A2148" s="119"/>
      <c r="D2148" s="60"/>
      <c r="G2148" s="164"/>
      <c r="H2148" s="113"/>
      <c r="J2148" s="114"/>
    </row>
    <row r="2149" spans="1:14" x14ac:dyDescent="0.2">
      <c r="A2149" s="119"/>
      <c r="D2149" s="60"/>
      <c r="G2149" s="164"/>
      <c r="H2149" s="113"/>
      <c r="J2149" s="114"/>
    </row>
    <row r="2150" spans="1:14" x14ac:dyDescent="0.2">
      <c r="A2150" s="119"/>
      <c r="D2150" s="60"/>
      <c r="G2150" s="164"/>
      <c r="H2150" s="113"/>
      <c r="J2150" s="114"/>
    </row>
    <row r="2151" spans="1:14" x14ac:dyDescent="0.2">
      <c r="A2151" s="119"/>
      <c r="D2151" s="60"/>
      <c r="G2151" s="164"/>
      <c r="H2151" s="113"/>
      <c r="J2151" s="114"/>
    </row>
    <row r="2152" spans="1:14" x14ac:dyDescent="0.2">
      <c r="A2152" s="119"/>
      <c r="D2152" s="60"/>
      <c r="G2152" s="164"/>
      <c r="H2152" s="113"/>
      <c r="J2152" s="114"/>
    </row>
    <row r="2153" spans="1:14" x14ac:dyDescent="0.2">
      <c r="A2153" s="119"/>
      <c r="D2153" s="60"/>
      <c r="G2153" s="164"/>
      <c r="H2153" s="113"/>
      <c r="J2153" s="114"/>
    </row>
    <row r="2154" spans="1:14" x14ac:dyDescent="0.2">
      <c r="A2154" s="119"/>
      <c r="D2154" s="60"/>
      <c r="G2154" s="164"/>
      <c r="H2154" s="113"/>
      <c r="J2154" s="114"/>
    </row>
    <row r="2155" spans="1:14" x14ac:dyDescent="0.2">
      <c r="A2155" s="119"/>
      <c r="D2155" s="60"/>
      <c r="G2155" s="97"/>
      <c r="H2155" s="113"/>
      <c r="J2155" s="114"/>
    </row>
    <row r="2156" spans="1:14" x14ac:dyDescent="0.2">
      <c r="A2156" s="119"/>
      <c r="D2156" s="60"/>
      <c r="G2156" s="97"/>
      <c r="H2156" s="113"/>
      <c r="J2156" s="114"/>
    </row>
    <row r="2157" spans="1:14" x14ac:dyDescent="0.2">
      <c r="A2157" s="119"/>
      <c r="D2157" s="60"/>
      <c r="G2157" s="97"/>
      <c r="H2157" s="113"/>
      <c r="J2157" s="114"/>
    </row>
    <row r="2158" spans="1:14" x14ac:dyDescent="0.2">
      <c r="A2158" s="119"/>
      <c r="D2158" s="60"/>
      <c r="G2158" s="97"/>
      <c r="H2158" s="113"/>
      <c r="J2158" s="114"/>
      <c r="K2158" s="19"/>
      <c r="L2158" s="19"/>
      <c r="M2158" s="19"/>
      <c r="N2158" s="19"/>
    </row>
    <row r="2159" spans="1:14" x14ac:dyDescent="0.2">
      <c r="A2159" s="119"/>
      <c r="D2159" s="60"/>
      <c r="G2159" s="97"/>
      <c r="H2159" s="113"/>
      <c r="J2159" s="114"/>
    </row>
    <row r="2160" spans="1:14" x14ac:dyDescent="0.2">
      <c r="A2160" s="119"/>
      <c r="D2160" s="60"/>
      <c r="G2160" s="97"/>
      <c r="H2160" s="113"/>
      <c r="J2160" s="114"/>
    </row>
    <row r="2161" spans="1:14" x14ac:dyDescent="0.2">
      <c r="A2161" s="119"/>
      <c r="D2161" s="60"/>
      <c r="G2161" s="97"/>
      <c r="H2161" s="113"/>
      <c r="J2161" s="114"/>
      <c r="K2161" s="19"/>
      <c r="L2161" s="19"/>
      <c r="M2161" s="19"/>
      <c r="N2161" s="19"/>
    </row>
    <row r="2162" spans="1:14" x14ac:dyDescent="0.2">
      <c r="A2162" s="119"/>
      <c r="D2162" s="60"/>
      <c r="G2162" s="97"/>
      <c r="H2162" s="113"/>
      <c r="J2162" s="114"/>
    </row>
    <row r="2163" spans="1:14" x14ac:dyDescent="0.2">
      <c r="A2163" s="119"/>
      <c r="D2163" s="60"/>
      <c r="G2163" s="97"/>
      <c r="H2163" s="113"/>
      <c r="J2163" s="114"/>
    </row>
    <row r="2164" spans="1:14" x14ac:dyDescent="0.2">
      <c r="A2164" s="119"/>
      <c r="D2164" s="60"/>
      <c r="G2164" s="97"/>
      <c r="H2164" s="113"/>
      <c r="J2164" s="114"/>
    </row>
    <row r="2165" spans="1:14" x14ac:dyDescent="0.2">
      <c r="A2165" s="119"/>
      <c r="D2165" s="60"/>
      <c r="G2165" s="97"/>
      <c r="H2165" s="113"/>
      <c r="J2165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308"/>
  <sheetViews>
    <sheetView workbookViewId="0">
      <pane ySplit="1" topLeftCell="A2284" activePane="bottomLeft" state="frozen"/>
      <selection pane="bottomLeft" activeCell="A2309" sqref="A2309"/>
    </sheetView>
  </sheetViews>
  <sheetFormatPr defaultColWidth="9.140625" defaultRowHeight="15" x14ac:dyDescent="0.25"/>
  <cols>
    <col min="1" max="1" width="20.140625" style="321" bestFit="1" customWidth="1"/>
    <col min="2" max="2" width="9.140625" style="323"/>
    <col min="3" max="3" width="29.5703125" style="323" customWidth="1"/>
    <col min="4" max="4" width="14.140625" style="319" customWidth="1"/>
    <col min="5" max="5" width="11" style="2" customWidth="1"/>
    <col min="6" max="6" width="11.140625" style="314" customWidth="1"/>
    <col min="7" max="7" width="11.7109375" style="313" bestFit="1" customWidth="1"/>
    <col min="8" max="8" width="11.28515625" style="2" customWidth="1"/>
    <col min="9" max="9" width="9.140625" style="2"/>
    <col min="10" max="10" width="184.28515625" style="2" bestFit="1" customWidth="1"/>
    <col min="11" max="19" width="9.140625" style="2"/>
    <col min="20" max="16384" width="9.140625" style="562"/>
  </cols>
  <sheetData>
    <row r="1" spans="1:17" s="572" customFormat="1" ht="12.75" x14ac:dyDescent="0.2">
      <c r="A1" s="400" t="s">
        <v>228</v>
      </c>
      <c r="B1" s="577" t="s">
        <v>229</v>
      </c>
      <c r="C1" s="577" t="s">
        <v>230</v>
      </c>
      <c r="D1" s="576" t="s">
        <v>231</v>
      </c>
      <c r="E1" s="577" t="s">
        <v>232</v>
      </c>
      <c r="F1" s="575" t="s">
        <v>233</v>
      </c>
      <c r="G1" s="574" t="s">
        <v>234</v>
      </c>
      <c r="H1" s="577" t="s">
        <v>235</v>
      </c>
      <c r="I1" s="577"/>
      <c r="J1" s="573" t="s">
        <v>236</v>
      </c>
    </row>
    <row r="2" spans="1:17" s="562" customFormat="1" x14ac:dyDescent="0.25">
      <c r="A2" s="571" t="s">
        <v>248</v>
      </c>
      <c r="B2" s="570" t="s">
        <v>0</v>
      </c>
      <c r="C2" s="569" t="s">
        <v>237</v>
      </c>
      <c r="D2" s="568" t="s">
        <v>1</v>
      </c>
      <c r="E2" s="567">
        <v>354083</v>
      </c>
      <c r="F2" s="566" t="s">
        <v>2</v>
      </c>
      <c r="G2" s="565">
        <v>33.950000000000003</v>
      </c>
      <c r="H2" s="564"/>
      <c r="I2" s="564"/>
      <c r="J2" s="563" t="s">
        <v>3</v>
      </c>
      <c r="K2" s="328"/>
      <c r="L2" s="328"/>
      <c r="M2" s="328"/>
      <c r="N2" s="328"/>
      <c r="O2" s="328"/>
      <c r="P2" s="328"/>
      <c r="Q2" s="328"/>
    </row>
    <row r="3" spans="1:17" s="562" customFormat="1" x14ac:dyDescent="0.25">
      <c r="A3" s="571" t="s">
        <v>248</v>
      </c>
      <c r="B3" s="570" t="s">
        <v>0</v>
      </c>
      <c r="C3" s="569" t="s">
        <v>237</v>
      </c>
      <c r="D3" s="568" t="s">
        <v>4</v>
      </c>
      <c r="E3" s="567">
        <v>350160</v>
      </c>
      <c r="F3" s="566" t="s">
        <v>5</v>
      </c>
      <c r="G3" s="565">
        <v>71.72</v>
      </c>
      <c r="H3" s="564"/>
      <c r="I3" s="564"/>
      <c r="J3" s="563" t="s">
        <v>6</v>
      </c>
      <c r="K3" s="328"/>
      <c r="L3" s="328"/>
      <c r="M3" s="328"/>
      <c r="N3" s="328"/>
      <c r="O3" s="328"/>
      <c r="P3" s="328"/>
      <c r="Q3" s="328"/>
    </row>
    <row r="4" spans="1:17" s="562" customFormat="1" x14ac:dyDescent="0.25">
      <c r="A4" s="571" t="s">
        <v>248</v>
      </c>
      <c r="B4" s="570" t="s">
        <v>0</v>
      </c>
      <c r="C4" s="569" t="s">
        <v>237</v>
      </c>
      <c r="D4" s="568" t="s">
        <v>7</v>
      </c>
      <c r="E4" s="567">
        <v>214287</v>
      </c>
      <c r="F4" s="566" t="s">
        <v>8</v>
      </c>
      <c r="G4" s="565">
        <v>61.43</v>
      </c>
      <c r="H4" s="564"/>
      <c r="I4" s="564"/>
      <c r="J4" s="563" t="s">
        <v>6</v>
      </c>
      <c r="K4" s="328"/>
      <c r="L4" s="328"/>
      <c r="M4" s="328"/>
      <c r="N4" s="328"/>
      <c r="O4" s="328"/>
      <c r="P4" s="328"/>
      <c r="Q4" s="328"/>
    </row>
    <row r="5" spans="1:17" s="562" customFormat="1" x14ac:dyDescent="0.25">
      <c r="A5" s="571" t="s">
        <v>249</v>
      </c>
      <c r="B5" s="570" t="s">
        <v>0</v>
      </c>
      <c r="C5" s="569" t="s">
        <v>237</v>
      </c>
      <c r="D5" s="568">
        <v>376212767994</v>
      </c>
      <c r="E5" s="567">
        <v>1169</v>
      </c>
      <c r="F5" s="566" t="s">
        <v>9</v>
      </c>
      <c r="G5" s="565">
        <v>101.48</v>
      </c>
      <c r="H5" s="564"/>
      <c r="I5" s="564"/>
      <c r="J5" s="561" t="s">
        <v>10</v>
      </c>
      <c r="K5" s="328"/>
      <c r="L5" s="328"/>
      <c r="M5" s="328"/>
      <c r="N5" s="328"/>
      <c r="O5" s="328"/>
      <c r="P5" s="328"/>
      <c r="Q5" s="328"/>
    </row>
    <row r="6" spans="1:17" s="562" customFormat="1" x14ac:dyDescent="0.25">
      <c r="A6" s="571" t="s">
        <v>247</v>
      </c>
      <c r="B6" s="570" t="s">
        <v>0</v>
      </c>
      <c r="C6" s="569" t="s">
        <v>237</v>
      </c>
      <c r="D6" s="568" t="s">
        <v>7</v>
      </c>
      <c r="E6" s="563">
        <v>214287</v>
      </c>
      <c r="F6" s="566" t="s">
        <v>11</v>
      </c>
      <c r="G6" s="565">
        <v>71.72</v>
      </c>
      <c r="H6" s="564"/>
      <c r="I6" s="564"/>
      <c r="J6" s="560" t="s">
        <v>12</v>
      </c>
      <c r="K6" s="328"/>
      <c r="L6" s="328"/>
      <c r="M6" s="328"/>
      <c r="N6" s="328"/>
      <c r="O6" s="328"/>
      <c r="P6" s="328"/>
      <c r="Q6" s="328"/>
    </row>
    <row r="7" spans="1:17" s="562" customFormat="1" x14ac:dyDescent="0.25">
      <c r="A7" s="571" t="s">
        <v>247</v>
      </c>
      <c r="B7" s="570" t="s">
        <v>0</v>
      </c>
      <c r="C7" s="569" t="s">
        <v>237</v>
      </c>
      <c r="D7" s="568">
        <v>376232610992</v>
      </c>
      <c r="E7" s="563">
        <v>226285</v>
      </c>
      <c r="F7" s="566" t="s">
        <v>13</v>
      </c>
      <c r="G7" s="565">
        <v>78.44</v>
      </c>
      <c r="H7" s="564"/>
      <c r="I7" s="564"/>
      <c r="J7" s="560" t="s">
        <v>10</v>
      </c>
      <c r="K7" s="328"/>
      <c r="L7" s="328"/>
      <c r="M7" s="328"/>
      <c r="N7" s="328"/>
      <c r="O7" s="328"/>
      <c r="P7" s="328"/>
      <c r="Q7" s="328"/>
    </row>
    <row r="8" spans="1:17" s="562" customFormat="1" x14ac:dyDescent="0.25">
      <c r="A8" s="571" t="s">
        <v>247</v>
      </c>
      <c r="B8" s="570" t="s">
        <v>0</v>
      </c>
      <c r="C8" s="569" t="s">
        <v>237</v>
      </c>
      <c r="D8" s="568" t="s">
        <v>14</v>
      </c>
      <c r="E8" s="563">
        <v>224529</v>
      </c>
      <c r="F8" s="566" t="s">
        <v>15</v>
      </c>
      <c r="G8" s="565">
        <v>-71.760000000000005</v>
      </c>
      <c r="H8" s="564"/>
      <c r="I8" s="564"/>
      <c r="J8" s="560" t="s">
        <v>16</v>
      </c>
      <c r="K8" s="328"/>
      <c r="L8" s="328"/>
      <c r="M8" s="328"/>
      <c r="N8" s="328"/>
      <c r="O8" s="328"/>
      <c r="P8" s="328"/>
      <c r="Q8" s="328"/>
    </row>
    <row r="9" spans="1:17" s="562" customFormat="1" x14ac:dyDescent="0.25">
      <c r="A9" s="571" t="s">
        <v>250</v>
      </c>
      <c r="B9" s="570" t="s">
        <v>0</v>
      </c>
      <c r="C9" s="569" t="s">
        <v>237</v>
      </c>
      <c r="D9" s="568" t="s">
        <v>17</v>
      </c>
      <c r="E9" s="563">
        <v>350314</v>
      </c>
      <c r="F9" s="566" t="s">
        <v>18</v>
      </c>
      <c r="G9" s="565">
        <v>96.18</v>
      </c>
      <c r="H9" s="564"/>
      <c r="I9" s="564"/>
      <c r="J9" s="560" t="s">
        <v>12</v>
      </c>
      <c r="K9" s="328"/>
      <c r="L9" s="328"/>
      <c r="M9" s="328"/>
      <c r="N9" s="328"/>
      <c r="O9" s="328"/>
      <c r="P9" s="328"/>
      <c r="Q9" s="328"/>
    </row>
    <row r="10" spans="1:17" s="562" customFormat="1" x14ac:dyDescent="0.25">
      <c r="A10" s="571" t="s">
        <v>250</v>
      </c>
      <c r="B10" s="570" t="s">
        <v>0</v>
      </c>
      <c r="C10" s="569" t="s">
        <v>237</v>
      </c>
      <c r="D10" s="568" t="s">
        <v>17</v>
      </c>
      <c r="E10" s="563">
        <v>350314</v>
      </c>
      <c r="F10" s="566" t="s">
        <v>19</v>
      </c>
      <c r="G10" s="565">
        <v>26.95</v>
      </c>
      <c r="H10" s="564"/>
      <c r="I10" s="564"/>
      <c r="J10" s="560" t="s">
        <v>12</v>
      </c>
      <c r="K10" s="328"/>
      <c r="L10" s="328"/>
      <c r="M10" s="328"/>
      <c r="N10" s="328"/>
      <c r="O10" s="328"/>
      <c r="P10" s="328"/>
      <c r="Q10" s="328"/>
    </row>
    <row r="11" spans="1:17" s="562" customFormat="1" x14ac:dyDescent="0.25">
      <c r="A11" s="571" t="s">
        <v>250</v>
      </c>
      <c r="B11" s="570" t="s">
        <v>0</v>
      </c>
      <c r="C11" s="569" t="s">
        <v>237</v>
      </c>
      <c r="D11" s="568" t="s">
        <v>17</v>
      </c>
      <c r="E11" s="563">
        <v>350314</v>
      </c>
      <c r="F11" s="566" t="s">
        <v>20</v>
      </c>
      <c r="G11" s="565">
        <v>58.95</v>
      </c>
      <c r="H11" s="564"/>
      <c r="I11" s="564"/>
      <c r="J11" s="560" t="s">
        <v>12</v>
      </c>
      <c r="K11" s="328"/>
      <c r="L11" s="328"/>
      <c r="M11" s="328"/>
      <c r="N11" s="328"/>
      <c r="O11" s="328"/>
      <c r="P11" s="328"/>
      <c r="Q11" s="328"/>
    </row>
    <row r="12" spans="1:17" s="562" customFormat="1" x14ac:dyDescent="0.25">
      <c r="A12" s="571" t="s">
        <v>250</v>
      </c>
      <c r="B12" s="570" t="s">
        <v>0</v>
      </c>
      <c r="C12" s="569" t="s">
        <v>237</v>
      </c>
      <c r="D12" s="568" t="s">
        <v>17</v>
      </c>
      <c r="E12" s="563">
        <v>350314</v>
      </c>
      <c r="F12" s="566" t="s">
        <v>21</v>
      </c>
      <c r="G12" s="565">
        <v>49.9</v>
      </c>
      <c r="H12" s="564"/>
      <c r="I12" s="564"/>
      <c r="J12" s="560" t="s">
        <v>12</v>
      </c>
      <c r="K12" s="328"/>
      <c r="L12" s="328"/>
      <c r="M12" s="328"/>
      <c r="N12" s="328"/>
      <c r="O12" s="328"/>
      <c r="P12" s="328"/>
      <c r="Q12" s="328"/>
    </row>
    <row r="13" spans="1:17" s="562" customFormat="1" x14ac:dyDescent="0.25">
      <c r="A13" s="571" t="s">
        <v>250</v>
      </c>
      <c r="B13" s="570" t="s">
        <v>0</v>
      </c>
      <c r="C13" s="569" t="s">
        <v>237</v>
      </c>
      <c r="D13" s="568" t="s">
        <v>17</v>
      </c>
      <c r="E13" s="563">
        <v>350314</v>
      </c>
      <c r="F13" s="566" t="s">
        <v>22</v>
      </c>
      <c r="G13" s="565">
        <v>48.9</v>
      </c>
      <c r="H13" s="564"/>
      <c r="I13" s="564"/>
      <c r="J13" s="560" t="s">
        <v>12</v>
      </c>
      <c r="K13" s="328"/>
      <c r="L13" s="328"/>
      <c r="M13" s="328"/>
      <c r="N13" s="328"/>
      <c r="O13" s="328"/>
      <c r="P13" s="328"/>
      <c r="Q13" s="328"/>
    </row>
    <row r="14" spans="1:17" s="562" customFormat="1" x14ac:dyDescent="0.25">
      <c r="A14" s="571" t="s">
        <v>250</v>
      </c>
      <c r="B14" s="570" t="s">
        <v>0</v>
      </c>
      <c r="C14" s="569" t="s">
        <v>237</v>
      </c>
      <c r="D14" s="568" t="s">
        <v>23</v>
      </c>
      <c r="E14" s="563">
        <v>350331</v>
      </c>
      <c r="F14" s="566" t="s">
        <v>24</v>
      </c>
      <c r="G14" s="565">
        <v>466.83</v>
      </c>
      <c r="H14" s="564"/>
      <c r="I14" s="564"/>
      <c r="J14" s="560" t="s">
        <v>12</v>
      </c>
      <c r="K14" s="328"/>
      <c r="L14" s="328"/>
      <c r="M14" s="328"/>
      <c r="N14" s="328"/>
      <c r="O14" s="328"/>
      <c r="P14" s="328"/>
      <c r="Q14" s="328"/>
    </row>
    <row r="15" spans="1:17" s="562" customFormat="1" x14ac:dyDescent="0.25">
      <c r="A15" s="571" t="s">
        <v>250</v>
      </c>
      <c r="B15" s="570" t="s">
        <v>0</v>
      </c>
      <c r="C15" s="569" t="s">
        <v>237</v>
      </c>
      <c r="D15" s="568" t="s">
        <v>23</v>
      </c>
      <c r="E15" s="563">
        <v>350331</v>
      </c>
      <c r="F15" s="566" t="s">
        <v>25</v>
      </c>
      <c r="G15" s="565">
        <v>72.989999999999995</v>
      </c>
      <c r="H15" s="564"/>
      <c r="I15" s="564"/>
      <c r="J15" s="560" t="s">
        <v>12</v>
      </c>
      <c r="K15" s="328"/>
      <c r="L15" s="328"/>
      <c r="M15" s="328"/>
      <c r="N15" s="328"/>
      <c r="O15" s="328"/>
      <c r="P15" s="328"/>
      <c r="Q15" s="328"/>
    </row>
    <row r="16" spans="1:17" s="562" customFormat="1" x14ac:dyDescent="0.25">
      <c r="A16" s="571" t="s">
        <v>250</v>
      </c>
      <c r="B16" s="570" t="s">
        <v>0</v>
      </c>
      <c r="C16" s="569" t="s">
        <v>237</v>
      </c>
      <c r="D16" s="568" t="s">
        <v>23</v>
      </c>
      <c r="E16" s="563">
        <v>350331</v>
      </c>
      <c r="F16" s="566" t="s">
        <v>26</v>
      </c>
      <c r="G16" s="565">
        <v>47.58</v>
      </c>
      <c r="H16" s="564"/>
      <c r="I16" s="564"/>
      <c r="J16" s="560" t="s">
        <v>12</v>
      </c>
      <c r="K16" s="328"/>
      <c r="L16" s="328"/>
      <c r="M16" s="328"/>
      <c r="N16" s="328"/>
      <c r="O16" s="328"/>
      <c r="P16" s="328"/>
      <c r="Q16" s="328"/>
    </row>
    <row r="17" spans="1:19" x14ac:dyDescent="0.25">
      <c r="A17" s="571" t="s">
        <v>251</v>
      </c>
      <c r="B17" s="570" t="s">
        <v>0</v>
      </c>
      <c r="C17" s="569" t="s">
        <v>237</v>
      </c>
      <c r="D17" s="568" t="s">
        <v>27</v>
      </c>
      <c r="E17" s="563">
        <v>223712</v>
      </c>
      <c r="F17" s="566" t="s">
        <v>28</v>
      </c>
      <c r="G17" s="565">
        <v>149.94999999999999</v>
      </c>
      <c r="H17" s="564"/>
      <c r="I17" s="564"/>
      <c r="J17" s="560" t="s">
        <v>6</v>
      </c>
      <c r="K17" s="328"/>
      <c r="L17" s="328"/>
      <c r="M17" s="328"/>
      <c r="N17" s="328"/>
      <c r="O17" s="328"/>
      <c r="P17" s="328"/>
      <c r="Q17" s="328"/>
      <c r="R17" s="562"/>
      <c r="S17" s="562"/>
    </row>
    <row r="18" spans="1:19" x14ac:dyDescent="0.25">
      <c r="A18" s="571" t="s">
        <v>252</v>
      </c>
      <c r="B18" s="570" t="s">
        <v>0</v>
      </c>
      <c r="C18" s="569" t="s">
        <v>237</v>
      </c>
      <c r="D18" s="568">
        <v>376265267991</v>
      </c>
      <c r="E18" s="563">
        <v>350416</v>
      </c>
      <c r="F18" s="566" t="s">
        <v>29</v>
      </c>
      <c r="G18" s="565">
        <v>113.9</v>
      </c>
      <c r="H18" s="564"/>
      <c r="I18" s="564"/>
      <c r="J18" s="559" t="s">
        <v>30</v>
      </c>
      <c r="K18" s="328"/>
      <c r="L18" s="328"/>
      <c r="M18" s="328"/>
      <c r="N18" s="328"/>
      <c r="O18" s="328"/>
      <c r="P18" s="328"/>
      <c r="Q18" s="328"/>
      <c r="R18" s="562"/>
      <c r="S18" s="562"/>
    </row>
    <row r="19" spans="1:19" x14ac:dyDescent="0.25">
      <c r="A19" s="571" t="s">
        <v>252</v>
      </c>
      <c r="B19" s="570" t="s">
        <v>0</v>
      </c>
      <c r="C19" s="569" t="s">
        <v>237</v>
      </c>
      <c r="D19" s="568">
        <v>376208859995</v>
      </c>
      <c r="E19" s="563">
        <v>216789</v>
      </c>
      <c r="F19" s="566" t="s">
        <v>31</v>
      </c>
      <c r="G19" s="565">
        <v>44</v>
      </c>
      <c r="H19" s="564"/>
      <c r="I19" s="564"/>
      <c r="J19" s="559" t="s">
        <v>6</v>
      </c>
      <c r="K19" s="328"/>
      <c r="L19" s="328"/>
      <c r="M19" s="328"/>
      <c r="N19" s="328"/>
      <c r="O19" s="328"/>
      <c r="P19" s="328"/>
      <c r="Q19" s="328"/>
      <c r="R19" s="562"/>
      <c r="S19" s="562"/>
    </row>
    <row r="20" spans="1:19" x14ac:dyDescent="0.25">
      <c r="A20" s="571" t="s">
        <v>251</v>
      </c>
      <c r="B20" s="570" t="s">
        <v>0</v>
      </c>
      <c r="C20" s="569" t="s">
        <v>237</v>
      </c>
      <c r="D20" s="568" t="s">
        <v>32</v>
      </c>
      <c r="E20" s="563">
        <v>212430</v>
      </c>
      <c r="F20" s="566" t="s">
        <v>33</v>
      </c>
      <c r="G20" s="565">
        <v>79.95</v>
      </c>
      <c r="H20" s="564"/>
      <c r="I20" s="564"/>
      <c r="J20" s="560" t="s">
        <v>6</v>
      </c>
      <c r="K20" s="328"/>
      <c r="L20" s="328"/>
      <c r="M20" s="328"/>
      <c r="N20" s="328"/>
      <c r="O20" s="328"/>
      <c r="P20" s="328"/>
      <c r="Q20" s="328"/>
      <c r="R20" s="562"/>
      <c r="S20" s="562"/>
    </row>
    <row r="21" spans="1:19" x14ac:dyDescent="0.25">
      <c r="A21" s="571" t="s">
        <v>251</v>
      </c>
      <c r="B21" s="570" t="s">
        <v>0</v>
      </c>
      <c r="C21" s="569" t="s">
        <v>237</v>
      </c>
      <c r="D21" s="568">
        <v>376238619997</v>
      </c>
      <c r="E21" s="563">
        <v>221953</v>
      </c>
      <c r="F21" s="566" t="s">
        <v>266</v>
      </c>
      <c r="G21" s="565">
        <v>-79.95</v>
      </c>
      <c r="H21" s="558"/>
      <c r="I21" s="564"/>
      <c r="J21" s="560" t="s">
        <v>35</v>
      </c>
      <c r="K21" s="328"/>
      <c r="L21" s="328"/>
      <c r="M21" s="328"/>
      <c r="N21" s="328"/>
      <c r="O21" s="328"/>
      <c r="P21" s="328"/>
      <c r="Q21" s="328"/>
      <c r="R21" s="562"/>
      <c r="S21" s="562"/>
    </row>
    <row r="22" spans="1:19" x14ac:dyDescent="0.25">
      <c r="A22" s="571" t="s">
        <v>253</v>
      </c>
      <c r="B22" s="570" t="s">
        <v>0</v>
      </c>
      <c r="C22" s="569" t="s">
        <v>237</v>
      </c>
      <c r="D22" s="568">
        <v>376268288994</v>
      </c>
      <c r="E22" s="563">
        <v>3508017</v>
      </c>
      <c r="F22" s="566" t="s">
        <v>36</v>
      </c>
      <c r="G22" s="565">
        <v>104.95</v>
      </c>
      <c r="H22" s="558"/>
      <c r="I22" s="564"/>
      <c r="J22" s="560" t="s">
        <v>6</v>
      </c>
      <c r="K22" s="328"/>
      <c r="L22" s="328"/>
      <c r="M22" s="328"/>
      <c r="N22" s="328"/>
      <c r="O22" s="328"/>
      <c r="P22" s="328"/>
      <c r="Q22" s="328"/>
      <c r="R22" s="562"/>
      <c r="S22" s="562"/>
    </row>
    <row r="23" spans="1:19" x14ac:dyDescent="0.25">
      <c r="A23" s="571" t="s">
        <v>253</v>
      </c>
      <c r="B23" s="570" t="s">
        <v>0</v>
      </c>
      <c r="C23" s="569" t="s">
        <v>237</v>
      </c>
      <c r="D23" s="568">
        <v>376256613997</v>
      </c>
      <c r="E23" s="563">
        <v>224820</v>
      </c>
      <c r="F23" s="566" t="s">
        <v>37</v>
      </c>
      <c r="G23" s="565">
        <v>104.95</v>
      </c>
      <c r="H23" s="564"/>
      <c r="I23" s="564"/>
      <c r="J23" s="560" t="s">
        <v>6</v>
      </c>
      <c r="K23" s="328"/>
      <c r="L23" s="328"/>
      <c r="M23" s="328"/>
      <c r="N23" s="328"/>
      <c r="O23" s="328"/>
      <c r="P23" s="328"/>
      <c r="Q23" s="328"/>
      <c r="R23" s="562"/>
      <c r="S23" s="562"/>
    </row>
    <row r="24" spans="1:19" x14ac:dyDescent="0.25">
      <c r="A24" s="571" t="s">
        <v>253</v>
      </c>
      <c r="B24" s="570" t="s">
        <v>0</v>
      </c>
      <c r="C24" s="569" t="s">
        <v>237</v>
      </c>
      <c r="D24" s="568">
        <v>376212826998</v>
      </c>
      <c r="E24" s="563">
        <v>201444</v>
      </c>
      <c r="F24" s="566" t="s">
        <v>38</v>
      </c>
      <c r="G24" s="565">
        <v>96.28</v>
      </c>
      <c r="H24" s="564"/>
      <c r="I24" s="564"/>
      <c r="J24" s="560" t="s">
        <v>6</v>
      </c>
      <c r="K24" s="328"/>
      <c r="L24" s="328"/>
      <c r="M24" s="328"/>
      <c r="N24" s="328"/>
      <c r="O24" s="328"/>
      <c r="P24" s="328"/>
      <c r="Q24" s="328"/>
      <c r="R24" s="562"/>
      <c r="S24" s="562"/>
    </row>
    <row r="25" spans="1:19" x14ac:dyDescent="0.25">
      <c r="A25" s="571" t="s">
        <v>253</v>
      </c>
      <c r="B25" s="570" t="s">
        <v>0</v>
      </c>
      <c r="C25" s="569" t="s">
        <v>237</v>
      </c>
      <c r="D25" s="568">
        <v>376271724993</v>
      </c>
      <c r="E25" s="563">
        <v>351650</v>
      </c>
      <c r="F25" s="566" t="s">
        <v>39</v>
      </c>
      <c r="G25" s="565">
        <v>78.95</v>
      </c>
      <c r="H25" s="564"/>
      <c r="I25" s="564"/>
      <c r="J25" s="560" t="s">
        <v>6</v>
      </c>
      <c r="K25" s="328"/>
      <c r="L25" s="328"/>
      <c r="M25" s="328"/>
      <c r="N25" s="328"/>
      <c r="O25" s="328"/>
      <c r="P25" s="328"/>
      <c r="Q25" s="328"/>
      <c r="R25" s="562"/>
      <c r="S25" s="562"/>
    </row>
    <row r="26" spans="1:19" x14ac:dyDescent="0.25">
      <c r="A26" s="571" t="s">
        <v>254</v>
      </c>
      <c r="B26" s="570" t="s">
        <v>0</v>
      </c>
      <c r="C26" s="569" t="s">
        <v>237</v>
      </c>
      <c r="D26" s="568">
        <v>376267276990</v>
      </c>
      <c r="E26" s="563">
        <v>350587</v>
      </c>
      <c r="F26" s="566" t="s">
        <v>40</v>
      </c>
      <c r="G26" s="565">
        <v>72.680000000000007</v>
      </c>
      <c r="H26" s="564"/>
      <c r="I26" s="564"/>
      <c r="J26" s="557" t="s">
        <v>6</v>
      </c>
      <c r="K26" s="328"/>
      <c r="L26" s="328"/>
      <c r="M26" s="328"/>
      <c r="N26" s="328"/>
      <c r="O26" s="328"/>
      <c r="P26" s="328"/>
      <c r="Q26" s="328"/>
      <c r="R26" s="562"/>
      <c r="S26" s="562"/>
    </row>
    <row r="27" spans="1:19" x14ac:dyDescent="0.25">
      <c r="A27" s="571" t="s">
        <v>254</v>
      </c>
      <c r="B27" s="570" t="s">
        <v>0</v>
      </c>
      <c r="C27" s="569" t="s">
        <v>237</v>
      </c>
      <c r="D27" s="568">
        <v>376228579995</v>
      </c>
      <c r="E27" s="563">
        <v>211725</v>
      </c>
      <c r="F27" s="566" t="s">
        <v>41</v>
      </c>
      <c r="G27" s="565">
        <v>56.4</v>
      </c>
      <c r="H27" s="564"/>
      <c r="I27" s="564"/>
      <c r="J27" s="557" t="s">
        <v>42</v>
      </c>
      <c r="K27" s="328"/>
      <c r="L27" s="328"/>
      <c r="M27" s="328"/>
      <c r="N27" s="328"/>
      <c r="O27" s="328"/>
      <c r="P27" s="328"/>
      <c r="Q27" s="328"/>
      <c r="R27" s="562"/>
      <c r="S27" s="562"/>
    </row>
    <row r="28" spans="1:19" x14ac:dyDescent="0.25">
      <c r="A28" s="571" t="s">
        <v>255</v>
      </c>
      <c r="B28" s="570" t="s">
        <v>0</v>
      </c>
      <c r="C28" s="569" t="s">
        <v>237</v>
      </c>
      <c r="D28" s="568">
        <v>376269683995</v>
      </c>
      <c r="E28" s="563">
        <v>350852</v>
      </c>
      <c r="F28" s="566" t="s">
        <v>43</v>
      </c>
      <c r="G28" s="565">
        <v>59.96</v>
      </c>
      <c r="H28" s="564"/>
      <c r="I28" s="564"/>
      <c r="J28" s="556" t="s">
        <v>6</v>
      </c>
      <c r="K28" s="328"/>
      <c r="L28" s="328"/>
      <c r="M28" s="328"/>
      <c r="N28" s="328"/>
      <c r="O28" s="328"/>
      <c r="P28" s="328"/>
      <c r="Q28" s="328"/>
      <c r="R28" s="562"/>
      <c r="S28" s="562"/>
    </row>
    <row r="29" spans="1:19" x14ac:dyDescent="0.25">
      <c r="A29" s="571" t="s">
        <v>256</v>
      </c>
      <c r="B29" s="570" t="s">
        <v>0</v>
      </c>
      <c r="C29" s="569" t="s">
        <v>237</v>
      </c>
      <c r="D29" s="568">
        <v>376264933999</v>
      </c>
      <c r="E29" s="563">
        <v>350386</v>
      </c>
      <c r="F29" s="566" t="s">
        <v>267</v>
      </c>
      <c r="G29" s="565">
        <v>144.35</v>
      </c>
      <c r="H29" s="558"/>
      <c r="I29" s="564"/>
      <c r="J29" s="560" t="s">
        <v>44</v>
      </c>
      <c r="K29" s="328"/>
      <c r="L29" s="328" t="s">
        <v>45</v>
      </c>
      <c r="M29" s="328" t="s">
        <v>46</v>
      </c>
      <c r="N29" s="328"/>
      <c r="O29" s="328"/>
      <c r="P29" s="328"/>
      <c r="Q29" s="328"/>
      <c r="R29" s="562"/>
      <c r="S29" s="562"/>
    </row>
    <row r="30" spans="1:19" x14ac:dyDescent="0.25">
      <c r="A30" s="571" t="s">
        <v>257</v>
      </c>
      <c r="B30" s="570" t="s">
        <v>0</v>
      </c>
      <c r="C30" s="569" t="s">
        <v>237</v>
      </c>
      <c r="D30" s="568" t="s">
        <v>47</v>
      </c>
      <c r="E30" s="563">
        <v>352265</v>
      </c>
      <c r="F30" s="566" t="s">
        <v>48</v>
      </c>
      <c r="G30" s="565">
        <v>45.95</v>
      </c>
      <c r="H30" s="564"/>
      <c r="I30" s="564"/>
      <c r="J30" s="560" t="s">
        <v>6</v>
      </c>
      <c r="K30" s="328"/>
      <c r="L30" s="328"/>
      <c r="M30" s="328"/>
      <c r="N30" s="328"/>
      <c r="O30" s="328"/>
      <c r="P30" s="328"/>
      <c r="Q30" s="328"/>
      <c r="R30" s="562"/>
      <c r="S30" s="562"/>
    </row>
    <row r="31" spans="1:19" x14ac:dyDescent="0.25">
      <c r="A31" s="571" t="s">
        <v>256</v>
      </c>
      <c r="B31" s="570" t="s">
        <v>0</v>
      </c>
      <c r="C31" s="569" t="s">
        <v>237</v>
      </c>
      <c r="D31" s="568" t="s">
        <v>49</v>
      </c>
      <c r="E31" s="563">
        <v>350920</v>
      </c>
      <c r="F31" s="566" t="s">
        <v>268</v>
      </c>
      <c r="G31" s="565">
        <v>64.95</v>
      </c>
      <c r="H31" s="564"/>
      <c r="I31" s="564"/>
      <c r="J31" s="560" t="s">
        <v>50</v>
      </c>
      <c r="K31" s="328"/>
      <c r="L31" s="328"/>
      <c r="M31" s="328"/>
      <c r="N31" s="328"/>
      <c r="O31" s="328"/>
      <c r="P31" s="328"/>
      <c r="Q31" s="328"/>
      <c r="R31" s="562"/>
      <c r="S31" s="562"/>
    </row>
    <row r="32" spans="1:19" x14ac:dyDescent="0.25">
      <c r="A32" s="555" t="s">
        <v>2022</v>
      </c>
      <c r="B32" s="323" t="s">
        <v>0</v>
      </c>
      <c r="C32" s="323" t="s">
        <v>2062</v>
      </c>
      <c r="D32" s="561" t="s">
        <v>2029</v>
      </c>
      <c r="E32" s="554">
        <v>352574</v>
      </c>
      <c r="F32" s="553">
        <v>733363</v>
      </c>
      <c r="G32" s="565">
        <v>36.950000000000003</v>
      </c>
      <c r="H32" s="552"/>
      <c r="J32" s="565" t="s">
        <v>124</v>
      </c>
    </row>
    <row r="33" spans="1:19" x14ac:dyDescent="0.25">
      <c r="A33" s="555" t="s">
        <v>281</v>
      </c>
      <c r="B33" s="323" t="s">
        <v>0</v>
      </c>
      <c r="C33" s="335" t="s">
        <v>238</v>
      </c>
      <c r="D33" s="551" t="s">
        <v>271</v>
      </c>
      <c r="E33" s="553">
        <v>1082</v>
      </c>
      <c r="F33" s="319">
        <v>702052</v>
      </c>
      <c r="G33" s="550">
        <v>110.81</v>
      </c>
      <c r="H33" s="549"/>
      <c r="J33" s="553" t="s">
        <v>1966</v>
      </c>
    </row>
    <row r="34" spans="1:19" x14ac:dyDescent="0.25">
      <c r="A34" s="555" t="s">
        <v>281</v>
      </c>
      <c r="B34" s="323" t="s">
        <v>0</v>
      </c>
      <c r="C34" s="335" t="s">
        <v>238</v>
      </c>
      <c r="D34" s="561" t="s">
        <v>272</v>
      </c>
      <c r="E34" s="553">
        <v>351187</v>
      </c>
      <c r="F34" s="548">
        <v>697325</v>
      </c>
      <c r="G34" s="550">
        <v>251.65</v>
      </c>
      <c r="H34" s="549"/>
      <c r="J34" s="553" t="s">
        <v>6</v>
      </c>
    </row>
    <row r="35" spans="1:19" s="336" customFormat="1" x14ac:dyDescent="0.25">
      <c r="A35" s="547" t="s">
        <v>1928</v>
      </c>
      <c r="B35" s="335" t="s">
        <v>0</v>
      </c>
      <c r="C35" s="335" t="s">
        <v>238</v>
      </c>
      <c r="D35" s="546" t="s">
        <v>1929</v>
      </c>
      <c r="E35" s="545">
        <v>351805</v>
      </c>
      <c r="F35" s="342">
        <v>724288</v>
      </c>
      <c r="G35" s="342">
        <v>64.95</v>
      </c>
      <c r="H35" s="544"/>
      <c r="J35" s="545" t="s">
        <v>246</v>
      </c>
    </row>
    <row r="36" spans="1:19" s="537" customFormat="1" x14ac:dyDescent="0.25">
      <c r="A36" s="543" t="s">
        <v>1928</v>
      </c>
      <c r="B36" s="542" t="s">
        <v>0</v>
      </c>
      <c r="C36" s="542" t="s">
        <v>476</v>
      </c>
      <c r="D36" s="541" t="s">
        <v>1930</v>
      </c>
      <c r="E36" s="540">
        <v>353065</v>
      </c>
      <c r="F36" s="539">
        <v>726925</v>
      </c>
      <c r="G36" s="539">
        <v>101.95</v>
      </c>
      <c r="H36" s="538"/>
      <c r="J36" s="540" t="s">
        <v>1991</v>
      </c>
    </row>
    <row r="37" spans="1:19" s="336" customFormat="1" x14ac:dyDescent="0.25">
      <c r="A37" s="547" t="s">
        <v>1928</v>
      </c>
      <c r="B37" s="335" t="s">
        <v>0</v>
      </c>
      <c r="C37" s="335" t="s">
        <v>238</v>
      </c>
      <c r="D37" s="536">
        <v>376262586997</v>
      </c>
      <c r="E37" s="545">
        <v>487</v>
      </c>
      <c r="F37" s="342">
        <v>723710</v>
      </c>
      <c r="G37" s="342">
        <v>45.63</v>
      </c>
      <c r="H37" s="544"/>
      <c r="J37" s="545" t="s">
        <v>246</v>
      </c>
    </row>
    <row r="38" spans="1:19" s="336" customFormat="1" x14ac:dyDescent="0.25">
      <c r="A38" s="547" t="s">
        <v>1928</v>
      </c>
      <c r="B38" s="335" t="s">
        <v>0</v>
      </c>
      <c r="C38" s="335" t="s">
        <v>238</v>
      </c>
      <c r="D38" s="546" t="s">
        <v>1931</v>
      </c>
      <c r="E38" s="545">
        <v>352738</v>
      </c>
      <c r="F38" s="342">
        <v>726448</v>
      </c>
      <c r="G38" s="342">
        <v>111.09</v>
      </c>
      <c r="H38" s="544"/>
      <c r="J38" s="545" t="s">
        <v>246</v>
      </c>
    </row>
    <row r="39" spans="1:19" s="336" customFormat="1" x14ac:dyDescent="0.25">
      <c r="A39" s="547" t="s">
        <v>1928</v>
      </c>
      <c r="B39" s="335" t="s">
        <v>0</v>
      </c>
      <c r="C39" s="335" t="s">
        <v>238</v>
      </c>
      <c r="D39" s="546" t="s">
        <v>1932</v>
      </c>
      <c r="E39" s="545">
        <v>351665</v>
      </c>
      <c r="F39" s="342">
        <v>726247</v>
      </c>
      <c r="G39" s="342">
        <v>135.72999999999999</v>
      </c>
      <c r="H39" s="544"/>
      <c r="J39" s="545" t="s">
        <v>246</v>
      </c>
    </row>
    <row r="40" spans="1:19" x14ac:dyDescent="0.25">
      <c r="A40" s="535">
        <v>42737</v>
      </c>
      <c r="B40" s="553" t="s">
        <v>127</v>
      </c>
      <c r="C40" s="322"/>
      <c r="D40" s="392">
        <v>376270713997</v>
      </c>
      <c r="E40" s="534">
        <v>351215</v>
      </c>
      <c r="F40" s="550"/>
      <c r="G40" s="533">
        <v>62</v>
      </c>
      <c r="H40" s="534">
        <v>2664558</v>
      </c>
      <c r="I40" s="562"/>
      <c r="J40" s="532" t="s">
        <v>278</v>
      </c>
      <c r="K40" s="531"/>
      <c r="L40" s="531"/>
      <c r="M40" s="562"/>
      <c r="N40" s="562"/>
      <c r="O40" s="562"/>
      <c r="P40" s="562"/>
      <c r="Q40" s="562"/>
      <c r="R40" s="562"/>
      <c r="S40" s="562"/>
    </row>
    <row r="41" spans="1:19" x14ac:dyDescent="0.25">
      <c r="A41" s="535">
        <v>42737</v>
      </c>
      <c r="B41" s="553" t="s">
        <v>127</v>
      </c>
      <c r="C41" s="322"/>
      <c r="D41" s="392">
        <v>376270713997</v>
      </c>
      <c r="E41" s="534">
        <v>351215</v>
      </c>
      <c r="F41" s="550"/>
      <c r="G41" s="533">
        <v>46.04</v>
      </c>
      <c r="H41" s="534">
        <v>2665589</v>
      </c>
      <c r="I41" s="562"/>
      <c r="J41" s="532" t="s">
        <v>278</v>
      </c>
      <c r="K41" s="531"/>
      <c r="L41" s="531"/>
      <c r="M41" s="562"/>
      <c r="N41" s="562"/>
      <c r="O41" s="562"/>
      <c r="P41" s="562"/>
      <c r="Q41" s="562"/>
      <c r="R41" s="562"/>
      <c r="S41" s="562"/>
    </row>
    <row r="42" spans="1:19" x14ac:dyDescent="0.25">
      <c r="A42" s="535">
        <v>42737</v>
      </c>
      <c r="B42" s="553" t="s">
        <v>127</v>
      </c>
      <c r="C42" s="322"/>
      <c r="D42" s="392">
        <v>376270713997</v>
      </c>
      <c r="E42" s="534">
        <v>351215</v>
      </c>
      <c r="F42" s="550"/>
      <c r="G42" s="533">
        <v>55</v>
      </c>
      <c r="H42" s="534">
        <v>2667909</v>
      </c>
      <c r="I42" s="562"/>
      <c r="J42" s="532" t="s">
        <v>278</v>
      </c>
      <c r="K42" s="531"/>
      <c r="L42" s="531"/>
      <c r="M42" s="562"/>
      <c r="N42" s="562"/>
      <c r="O42" s="562"/>
      <c r="P42" s="562"/>
      <c r="Q42" s="562"/>
      <c r="R42" s="562"/>
      <c r="S42" s="562"/>
    </row>
    <row r="43" spans="1:19" x14ac:dyDescent="0.25">
      <c r="A43" s="535">
        <v>42738</v>
      </c>
      <c r="B43" s="553" t="s">
        <v>127</v>
      </c>
      <c r="C43" s="322"/>
      <c r="D43" s="392">
        <v>376270713997</v>
      </c>
      <c r="E43" s="534">
        <v>351215</v>
      </c>
      <c r="F43" s="550"/>
      <c r="G43" s="533">
        <v>39.33</v>
      </c>
      <c r="H43" s="534">
        <v>2672094</v>
      </c>
      <c r="I43" s="562"/>
      <c r="J43" s="532" t="s">
        <v>278</v>
      </c>
      <c r="K43" s="531"/>
      <c r="L43" s="531"/>
      <c r="M43" s="562"/>
      <c r="N43" s="562"/>
      <c r="O43" s="562"/>
      <c r="P43" s="562"/>
      <c r="Q43" s="562"/>
      <c r="R43" s="562"/>
      <c r="S43" s="562"/>
    </row>
    <row r="44" spans="1:19" x14ac:dyDescent="0.25">
      <c r="A44" s="535">
        <v>42738</v>
      </c>
      <c r="B44" s="553" t="s">
        <v>127</v>
      </c>
      <c r="C44" s="322"/>
      <c r="D44" s="392">
        <v>376270713997</v>
      </c>
      <c r="E44" s="534">
        <v>351215</v>
      </c>
      <c r="F44" s="550"/>
      <c r="G44" s="533">
        <v>126.14</v>
      </c>
      <c r="H44" s="534">
        <v>2670807</v>
      </c>
      <c r="I44" s="562"/>
      <c r="J44" s="532" t="s">
        <v>278</v>
      </c>
      <c r="K44" s="531"/>
      <c r="L44" s="531"/>
      <c r="M44" s="562"/>
      <c r="N44" s="562"/>
      <c r="O44" s="562"/>
      <c r="P44" s="562"/>
      <c r="Q44" s="562"/>
      <c r="R44" s="562"/>
      <c r="S44" s="562"/>
    </row>
    <row r="45" spans="1:19" x14ac:dyDescent="0.25">
      <c r="A45" s="535">
        <v>42738</v>
      </c>
      <c r="B45" s="553" t="s">
        <v>127</v>
      </c>
      <c r="C45" s="322"/>
      <c r="D45" s="392">
        <v>376270713997</v>
      </c>
      <c r="E45" s="534">
        <v>351215</v>
      </c>
      <c r="F45" s="550"/>
      <c r="G45" s="533">
        <v>62</v>
      </c>
      <c r="H45" s="534">
        <v>2666204</v>
      </c>
      <c r="I45" s="562"/>
      <c r="J45" s="532" t="s">
        <v>278</v>
      </c>
      <c r="K45" s="531"/>
      <c r="L45" s="531"/>
      <c r="M45" s="562"/>
      <c r="N45" s="562"/>
      <c r="O45" s="562"/>
      <c r="P45" s="562"/>
      <c r="Q45" s="562"/>
      <c r="R45" s="562"/>
      <c r="S45" s="562"/>
    </row>
    <row r="46" spans="1:19" x14ac:dyDescent="0.25">
      <c r="A46" s="535">
        <v>42738</v>
      </c>
      <c r="B46" s="553" t="s">
        <v>127</v>
      </c>
      <c r="C46" s="322"/>
      <c r="D46" s="392">
        <v>376270713997</v>
      </c>
      <c r="E46" s="534">
        <v>351215</v>
      </c>
      <c r="F46" s="550"/>
      <c r="G46" s="533">
        <v>159</v>
      </c>
      <c r="H46" s="534">
        <v>2668811</v>
      </c>
      <c r="I46" s="562"/>
      <c r="J46" s="532" t="s">
        <v>278</v>
      </c>
      <c r="K46" s="531"/>
      <c r="L46" s="531"/>
      <c r="M46" s="562"/>
      <c r="N46" s="562"/>
      <c r="O46" s="562"/>
      <c r="P46" s="562"/>
      <c r="Q46" s="562"/>
      <c r="R46" s="562"/>
      <c r="S46" s="562"/>
    </row>
    <row r="47" spans="1:19" x14ac:dyDescent="0.25">
      <c r="A47" s="535">
        <v>42739</v>
      </c>
      <c r="B47" s="553" t="s">
        <v>127</v>
      </c>
      <c r="C47" s="322"/>
      <c r="D47" s="392">
        <v>376270713997</v>
      </c>
      <c r="E47" s="534">
        <v>351215</v>
      </c>
      <c r="F47" s="550"/>
      <c r="G47" s="533">
        <v>104</v>
      </c>
      <c r="H47" s="534">
        <v>2663729</v>
      </c>
      <c r="I47" s="562"/>
      <c r="J47" s="532" t="s">
        <v>278</v>
      </c>
      <c r="K47" s="531"/>
      <c r="L47" s="531"/>
      <c r="M47" s="562"/>
      <c r="N47" s="562"/>
      <c r="O47" s="562"/>
      <c r="P47" s="562"/>
      <c r="Q47" s="562"/>
      <c r="R47" s="562"/>
      <c r="S47" s="562"/>
    </row>
    <row r="48" spans="1:19" x14ac:dyDescent="0.25">
      <c r="A48" s="535">
        <v>42739</v>
      </c>
      <c r="B48" s="553" t="s">
        <v>127</v>
      </c>
      <c r="C48" s="322"/>
      <c r="D48" s="392">
        <v>376270713997</v>
      </c>
      <c r="E48" s="534">
        <v>351215</v>
      </c>
      <c r="F48" s="550"/>
      <c r="G48" s="533">
        <v>145.66999999999999</v>
      </c>
      <c r="H48" s="534">
        <v>2660297</v>
      </c>
      <c r="I48" s="562"/>
      <c r="J48" s="532" t="s">
        <v>278</v>
      </c>
      <c r="K48" s="531"/>
      <c r="L48" s="531"/>
      <c r="M48" s="562"/>
      <c r="N48" s="562"/>
      <c r="O48" s="562"/>
      <c r="P48" s="562"/>
      <c r="Q48" s="562"/>
      <c r="R48" s="562"/>
      <c r="S48" s="562"/>
    </row>
    <row r="49" spans="1:12" s="562" customFormat="1" x14ac:dyDescent="0.25">
      <c r="A49" s="535">
        <v>42739</v>
      </c>
      <c r="B49" s="553" t="s">
        <v>127</v>
      </c>
      <c r="C49" s="322"/>
      <c r="D49" s="392">
        <v>376270713997</v>
      </c>
      <c r="E49" s="534">
        <v>351215</v>
      </c>
      <c r="F49" s="550"/>
      <c r="G49" s="533">
        <v>72.87</v>
      </c>
      <c r="H49" s="534">
        <v>2674089</v>
      </c>
      <c r="J49" s="532" t="s">
        <v>278</v>
      </c>
      <c r="K49" s="531"/>
      <c r="L49" s="531"/>
    </row>
    <row r="50" spans="1:12" s="562" customFormat="1" x14ac:dyDescent="0.25">
      <c r="A50" s="535">
        <v>42739</v>
      </c>
      <c r="B50" s="553" t="s">
        <v>127</v>
      </c>
      <c r="C50" s="322"/>
      <c r="D50" s="392">
        <v>376270713997</v>
      </c>
      <c r="E50" s="534">
        <v>351215</v>
      </c>
      <c r="F50" s="550"/>
      <c r="G50" s="533">
        <v>132.68</v>
      </c>
      <c r="H50" s="534">
        <v>2667169</v>
      </c>
      <c r="J50" s="532" t="s">
        <v>278</v>
      </c>
      <c r="K50" s="531"/>
      <c r="L50" s="531"/>
    </row>
    <row r="51" spans="1:12" s="562" customFormat="1" x14ac:dyDescent="0.25">
      <c r="A51" s="535">
        <v>42739</v>
      </c>
      <c r="B51" s="553" t="s">
        <v>127</v>
      </c>
      <c r="C51" s="322"/>
      <c r="D51" s="392">
        <v>376270713997</v>
      </c>
      <c r="E51" s="534">
        <v>351215</v>
      </c>
      <c r="F51" s="550"/>
      <c r="G51" s="533">
        <v>98</v>
      </c>
      <c r="H51" s="534">
        <v>2675350</v>
      </c>
      <c r="J51" s="532" t="s">
        <v>278</v>
      </c>
      <c r="K51" s="531"/>
      <c r="L51" s="531"/>
    </row>
    <row r="52" spans="1:12" s="562" customFormat="1" x14ac:dyDescent="0.25">
      <c r="A52" s="535">
        <v>42739</v>
      </c>
      <c r="B52" s="553" t="s">
        <v>127</v>
      </c>
      <c r="C52" s="322"/>
      <c r="D52" s="392">
        <v>376270713997</v>
      </c>
      <c r="E52" s="534">
        <v>351215</v>
      </c>
      <c r="F52" s="550"/>
      <c r="G52" s="533">
        <v>252.9</v>
      </c>
      <c r="H52" s="534">
        <v>2676527</v>
      </c>
      <c r="J52" s="532" t="s">
        <v>278</v>
      </c>
      <c r="K52" s="531"/>
      <c r="L52" s="531"/>
    </row>
    <row r="53" spans="1:12" s="562" customFormat="1" x14ac:dyDescent="0.25">
      <c r="A53" s="535">
        <v>42740</v>
      </c>
      <c r="B53" s="553" t="s">
        <v>127</v>
      </c>
      <c r="C53" s="322"/>
      <c r="D53" s="392">
        <v>376270713997</v>
      </c>
      <c r="E53" s="534">
        <v>351215</v>
      </c>
      <c r="F53" s="550"/>
      <c r="G53" s="533">
        <v>24.91</v>
      </c>
      <c r="H53" s="534">
        <v>2664873</v>
      </c>
      <c r="J53" s="532" t="s">
        <v>278</v>
      </c>
      <c r="K53" s="531"/>
      <c r="L53" s="531"/>
    </row>
    <row r="54" spans="1:12" s="562" customFormat="1" x14ac:dyDescent="0.25">
      <c r="A54" s="535">
        <v>42740</v>
      </c>
      <c r="B54" s="553" t="s">
        <v>127</v>
      </c>
      <c r="C54" s="322"/>
      <c r="D54" s="392">
        <v>376270713997</v>
      </c>
      <c r="E54" s="534">
        <v>351215</v>
      </c>
      <c r="F54" s="550"/>
      <c r="G54" s="533">
        <v>91.8</v>
      </c>
      <c r="H54" s="534">
        <v>2677431</v>
      </c>
      <c r="J54" s="532" t="s">
        <v>278</v>
      </c>
      <c r="K54" s="531"/>
      <c r="L54" s="531"/>
    </row>
    <row r="55" spans="1:12" s="562" customFormat="1" x14ac:dyDescent="0.25">
      <c r="A55" s="535">
        <v>42740</v>
      </c>
      <c r="B55" s="553" t="s">
        <v>127</v>
      </c>
      <c r="C55" s="322"/>
      <c r="D55" s="392">
        <v>376270713997</v>
      </c>
      <c r="E55" s="534">
        <v>351215</v>
      </c>
      <c r="F55" s="550"/>
      <c r="G55" s="533">
        <v>123.05</v>
      </c>
      <c r="H55" s="534">
        <v>2677046</v>
      </c>
      <c r="J55" s="532" t="s">
        <v>278</v>
      </c>
      <c r="K55" s="531"/>
      <c r="L55" s="531"/>
    </row>
    <row r="56" spans="1:12" s="562" customFormat="1" x14ac:dyDescent="0.25">
      <c r="A56" s="535">
        <v>42740</v>
      </c>
      <c r="B56" s="553" t="s">
        <v>127</v>
      </c>
      <c r="C56" s="322"/>
      <c r="D56" s="392">
        <v>376270713997</v>
      </c>
      <c r="E56" s="534">
        <v>351215</v>
      </c>
      <c r="F56" s="550"/>
      <c r="G56" s="533">
        <v>181.41</v>
      </c>
      <c r="H56" s="534">
        <v>26783852</v>
      </c>
      <c r="J56" s="532" t="s">
        <v>278</v>
      </c>
      <c r="K56" s="531"/>
      <c r="L56" s="531"/>
    </row>
    <row r="57" spans="1:12" s="562" customFormat="1" x14ac:dyDescent="0.25">
      <c r="A57" s="535">
        <v>42740</v>
      </c>
      <c r="B57" s="553" t="s">
        <v>127</v>
      </c>
      <c r="C57" s="322"/>
      <c r="D57" s="392">
        <v>376270713997</v>
      </c>
      <c r="E57" s="534">
        <v>351215</v>
      </c>
      <c r="F57" s="550"/>
      <c r="G57" s="533">
        <v>88.95</v>
      </c>
      <c r="H57" s="534">
        <v>2669972</v>
      </c>
      <c r="J57" s="532" t="s">
        <v>278</v>
      </c>
      <c r="K57" s="531"/>
      <c r="L57" s="531"/>
    </row>
    <row r="58" spans="1:12" s="562" customFormat="1" x14ac:dyDescent="0.25">
      <c r="A58" s="535">
        <v>42741</v>
      </c>
      <c r="B58" s="553" t="s">
        <v>127</v>
      </c>
      <c r="C58" s="322"/>
      <c r="D58" s="392">
        <v>376270713997</v>
      </c>
      <c r="E58" s="534">
        <v>351215</v>
      </c>
      <c r="F58" s="550"/>
      <c r="G58" s="533">
        <v>88</v>
      </c>
      <c r="H58" s="534">
        <v>2682557</v>
      </c>
      <c r="J58" s="532" t="s">
        <v>278</v>
      </c>
      <c r="K58" s="531"/>
      <c r="L58" s="531"/>
    </row>
    <row r="59" spans="1:12" s="562" customFormat="1" x14ac:dyDescent="0.25">
      <c r="A59" s="535">
        <v>42741</v>
      </c>
      <c r="B59" s="553" t="s">
        <v>127</v>
      </c>
      <c r="C59" s="322"/>
      <c r="D59" s="392">
        <v>376270713997</v>
      </c>
      <c r="E59" s="534">
        <v>351215</v>
      </c>
      <c r="F59" s="550"/>
      <c r="G59" s="533">
        <v>56.71</v>
      </c>
      <c r="H59" s="534">
        <v>2680600</v>
      </c>
      <c r="J59" s="532" t="s">
        <v>278</v>
      </c>
      <c r="K59" s="531"/>
      <c r="L59" s="531"/>
    </row>
    <row r="60" spans="1:12" s="562" customFormat="1" x14ac:dyDescent="0.25">
      <c r="A60" s="535">
        <v>42741</v>
      </c>
      <c r="B60" s="553" t="s">
        <v>127</v>
      </c>
      <c r="C60" s="322"/>
      <c r="D60" s="392">
        <v>376270713997</v>
      </c>
      <c r="E60" s="534">
        <v>351215</v>
      </c>
      <c r="F60" s="550"/>
      <c r="G60" s="533">
        <v>93.28</v>
      </c>
      <c r="H60" s="534">
        <v>2685460</v>
      </c>
      <c r="J60" s="532" t="s">
        <v>278</v>
      </c>
      <c r="K60" s="531"/>
      <c r="L60" s="531"/>
    </row>
    <row r="61" spans="1:12" s="562" customFormat="1" x14ac:dyDescent="0.25">
      <c r="A61" s="535">
        <v>42741</v>
      </c>
      <c r="B61" s="553" t="s">
        <v>127</v>
      </c>
      <c r="C61" s="322"/>
      <c r="D61" s="392">
        <v>376270713997</v>
      </c>
      <c r="E61" s="534">
        <v>351215</v>
      </c>
      <c r="F61" s="550"/>
      <c r="G61" s="533">
        <v>114.48</v>
      </c>
      <c r="H61" s="534">
        <v>2682579</v>
      </c>
      <c r="J61" s="532" t="s">
        <v>278</v>
      </c>
      <c r="K61" s="531"/>
      <c r="L61" s="531"/>
    </row>
    <row r="62" spans="1:12" s="562" customFormat="1" x14ac:dyDescent="0.25">
      <c r="A62" s="535">
        <v>42741</v>
      </c>
      <c r="B62" s="553" t="s">
        <v>127</v>
      </c>
      <c r="C62" s="322"/>
      <c r="D62" s="392">
        <v>376270713997</v>
      </c>
      <c r="E62" s="534">
        <v>351215</v>
      </c>
      <c r="F62" s="550"/>
      <c r="G62" s="533">
        <v>114.48</v>
      </c>
      <c r="H62" s="534">
        <v>2682573</v>
      </c>
      <c r="J62" s="532" t="s">
        <v>278</v>
      </c>
      <c r="K62" s="531"/>
      <c r="L62" s="531"/>
    </row>
    <row r="63" spans="1:12" s="562" customFormat="1" x14ac:dyDescent="0.25">
      <c r="A63" s="535">
        <v>42741</v>
      </c>
      <c r="B63" s="553" t="s">
        <v>127</v>
      </c>
      <c r="C63" s="322"/>
      <c r="D63" s="392">
        <v>376270713997</v>
      </c>
      <c r="E63" s="534">
        <v>351215</v>
      </c>
      <c r="F63" s="550"/>
      <c r="G63" s="533">
        <v>61.48</v>
      </c>
      <c r="H63" s="534">
        <v>2678587</v>
      </c>
      <c r="J63" s="532" t="s">
        <v>278</v>
      </c>
      <c r="K63" s="531"/>
      <c r="L63" s="531"/>
    </row>
    <row r="64" spans="1:12" s="336" customFormat="1" x14ac:dyDescent="0.25">
      <c r="A64" s="530">
        <v>42737</v>
      </c>
      <c r="B64" s="545" t="s">
        <v>127</v>
      </c>
      <c r="C64" s="335" t="s">
        <v>151</v>
      </c>
      <c r="D64" s="529">
        <v>376268723990</v>
      </c>
      <c r="E64" s="528">
        <v>350843</v>
      </c>
      <c r="F64" s="342"/>
      <c r="G64" s="527">
        <f>19.8+54.38</f>
        <v>74.180000000000007</v>
      </c>
      <c r="H64" s="528">
        <v>2667674</v>
      </c>
      <c r="J64" s="526" t="s">
        <v>2016</v>
      </c>
    </row>
    <row r="65" spans="1:10" s="336" customFormat="1" x14ac:dyDescent="0.25">
      <c r="A65" s="530">
        <v>42737</v>
      </c>
      <c r="B65" s="545" t="s">
        <v>127</v>
      </c>
      <c r="C65" s="335" t="s">
        <v>151</v>
      </c>
      <c r="D65" s="529">
        <v>376268723990</v>
      </c>
      <c r="E65" s="528">
        <v>350843</v>
      </c>
      <c r="F65" s="342"/>
      <c r="G65" s="527">
        <f>41.35+89.75</f>
        <v>131.1</v>
      </c>
      <c r="H65" s="528">
        <v>2667792</v>
      </c>
      <c r="J65" s="526" t="s">
        <v>2012</v>
      </c>
    </row>
    <row r="66" spans="1:10" s="336" customFormat="1" x14ac:dyDescent="0.25">
      <c r="A66" s="530">
        <v>42737</v>
      </c>
      <c r="B66" s="545" t="s">
        <v>127</v>
      </c>
      <c r="C66" s="335" t="s">
        <v>151</v>
      </c>
      <c r="D66" s="529">
        <v>376268723990</v>
      </c>
      <c r="E66" s="528">
        <v>350843</v>
      </c>
      <c r="F66" s="342"/>
      <c r="G66" s="527">
        <f>12.63+41.64</f>
        <v>54.27</v>
      </c>
      <c r="H66" s="528">
        <v>2666944</v>
      </c>
      <c r="J66" s="526" t="s">
        <v>2012</v>
      </c>
    </row>
    <row r="67" spans="1:10" s="336" customFormat="1" x14ac:dyDescent="0.25">
      <c r="A67" s="530">
        <v>42738</v>
      </c>
      <c r="B67" s="545" t="s">
        <v>127</v>
      </c>
      <c r="C67" s="335" t="s">
        <v>151</v>
      </c>
      <c r="D67" s="529">
        <v>376268723990</v>
      </c>
      <c r="E67" s="528">
        <v>350843</v>
      </c>
      <c r="F67" s="342"/>
      <c r="G67" s="527">
        <f>9.25+22.7</f>
        <v>31.95</v>
      </c>
      <c r="H67" s="528">
        <v>2669903</v>
      </c>
      <c r="J67" s="526" t="s">
        <v>2012</v>
      </c>
    </row>
    <row r="68" spans="1:10" s="336" customFormat="1" x14ac:dyDescent="0.25">
      <c r="A68" s="530">
        <v>42739</v>
      </c>
      <c r="B68" s="545" t="s">
        <v>127</v>
      </c>
      <c r="C68" s="335" t="s">
        <v>151</v>
      </c>
      <c r="D68" s="529">
        <v>376268723990</v>
      </c>
      <c r="E68" s="528">
        <v>350843</v>
      </c>
      <c r="F68" s="342"/>
      <c r="G68" s="527">
        <f>16.48+30.5</f>
        <v>46.980000000000004</v>
      </c>
      <c r="H68" s="528">
        <v>2673395</v>
      </c>
      <c r="J68" s="526" t="s">
        <v>2012</v>
      </c>
    </row>
    <row r="69" spans="1:10" s="336" customFormat="1" x14ac:dyDescent="0.25">
      <c r="A69" s="530">
        <v>42739</v>
      </c>
      <c r="B69" s="545" t="s">
        <v>127</v>
      </c>
      <c r="C69" s="335" t="s">
        <v>151</v>
      </c>
      <c r="D69" s="529">
        <v>376268723990</v>
      </c>
      <c r="E69" s="528">
        <v>350843</v>
      </c>
      <c r="F69" s="342"/>
      <c r="G69" s="527">
        <f>10.26+22.49</f>
        <v>32.75</v>
      </c>
      <c r="H69" s="528">
        <v>3678117</v>
      </c>
      <c r="J69" s="526" t="s">
        <v>2012</v>
      </c>
    </row>
    <row r="70" spans="1:10" s="336" customFormat="1" x14ac:dyDescent="0.25">
      <c r="A70" s="530">
        <v>42739</v>
      </c>
      <c r="B70" s="545" t="s">
        <v>127</v>
      </c>
      <c r="C70" s="335" t="s">
        <v>151</v>
      </c>
      <c r="D70" s="529">
        <v>376268723990</v>
      </c>
      <c r="E70" s="528">
        <v>350843</v>
      </c>
      <c r="F70" s="342"/>
      <c r="G70" s="527">
        <f>7.02+15.38</f>
        <v>22.4</v>
      </c>
      <c r="H70" s="528">
        <v>2672827</v>
      </c>
      <c r="J70" s="526" t="s">
        <v>2012</v>
      </c>
    </row>
    <row r="71" spans="1:10" s="336" customFormat="1" x14ac:dyDescent="0.25">
      <c r="A71" s="530">
        <v>42740</v>
      </c>
      <c r="B71" s="545" t="s">
        <v>127</v>
      </c>
      <c r="C71" s="335" t="s">
        <v>151</v>
      </c>
      <c r="D71" s="529">
        <v>376268723990</v>
      </c>
      <c r="E71" s="528">
        <v>350843</v>
      </c>
      <c r="F71" s="342"/>
      <c r="G71" s="527">
        <f>12.58+61.61</f>
        <v>74.19</v>
      </c>
      <c r="H71" s="528">
        <v>2674326</v>
      </c>
      <c r="J71" s="526" t="s">
        <v>2012</v>
      </c>
    </row>
    <row r="72" spans="1:10" s="336" customFormat="1" x14ac:dyDescent="0.25">
      <c r="A72" s="530">
        <v>42740</v>
      </c>
      <c r="B72" s="545" t="s">
        <v>127</v>
      </c>
      <c r="C72" s="335" t="s">
        <v>151</v>
      </c>
      <c r="D72" s="529">
        <v>376268723990</v>
      </c>
      <c r="E72" s="528">
        <v>350843</v>
      </c>
      <c r="F72" s="342"/>
      <c r="G72" s="527">
        <f>10.68+66.36</f>
        <v>77.039999999999992</v>
      </c>
      <c r="H72" s="528">
        <v>2675153</v>
      </c>
      <c r="J72" s="526" t="s">
        <v>2012</v>
      </c>
    </row>
    <row r="73" spans="1:10" s="336" customFormat="1" x14ac:dyDescent="0.25">
      <c r="A73" s="530">
        <v>42740</v>
      </c>
      <c r="B73" s="545" t="s">
        <v>127</v>
      </c>
      <c r="C73" s="335" t="s">
        <v>151</v>
      </c>
      <c r="D73" s="529">
        <v>376268723990</v>
      </c>
      <c r="E73" s="528">
        <v>350843</v>
      </c>
      <c r="F73" s="342"/>
      <c r="G73" s="527">
        <f>27.59+102.37</f>
        <v>129.96</v>
      </c>
      <c r="H73" s="528">
        <v>2680168</v>
      </c>
      <c r="J73" s="526" t="s">
        <v>2012</v>
      </c>
    </row>
    <row r="74" spans="1:10" s="336" customFormat="1" x14ac:dyDescent="0.25">
      <c r="A74" s="530">
        <v>42741</v>
      </c>
      <c r="B74" s="545" t="s">
        <v>127</v>
      </c>
      <c r="C74" s="335" t="s">
        <v>151</v>
      </c>
      <c r="D74" s="529">
        <v>376268723990</v>
      </c>
      <c r="E74" s="528">
        <v>350843</v>
      </c>
      <c r="F74" s="342"/>
      <c r="G74" s="527">
        <f>11.61+62.63</f>
        <v>74.240000000000009</v>
      </c>
      <c r="H74" s="528">
        <v>2685114</v>
      </c>
      <c r="J74" s="526" t="s">
        <v>2012</v>
      </c>
    </row>
    <row r="75" spans="1:10" s="336" customFormat="1" x14ac:dyDescent="0.25">
      <c r="A75" s="530">
        <v>42741</v>
      </c>
      <c r="B75" s="545" t="s">
        <v>127</v>
      </c>
      <c r="C75" s="335" t="s">
        <v>151</v>
      </c>
      <c r="D75" s="529">
        <v>376268723990</v>
      </c>
      <c r="E75" s="528">
        <v>350843</v>
      </c>
      <c r="F75" s="342"/>
      <c r="G75" s="527">
        <f>6.26+21.98</f>
        <v>28.240000000000002</v>
      </c>
      <c r="H75" s="528">
        <v>2685850</v>
      </c>
      <c r="J75" s="526" t="s">
        <v>2012</v>
      </c>
    </row>
    <row r="76" spans="1:10" s="336" customFormat="1" x14ac:dyDescent="0.25">
      <c r="A76" s="530">
        <v>42741</v>
      </c>
      <c r="B76" s="545" t="s">
        <v>127</v>
      </c>
      <c r="C76" s="335" t="s">
        <v>151</v>
      </c>
      <c r="D76" s="529">
        <v>376268723990</v>
      </c>
      <c r="E76" s="528">
        <v>350843</v>
      </c>
      <c r="F76" s="342"/>
      <c r="G76" s="527">
        <f>10.68+66.36</f>
        <v>77.039999999999992</v>
      </c>
      <c r="H76" s="528">
        <v>2677877</v>
      </c>
      <c r="J76" s="526" t="s">
        <v>2012</v>
      </c>
    </row>
    <row r="77" spans="1:10" s="336" customFormat="1" x14ac:dyDescent="0.25">
      <c r="A77" s="525">
        <v>42738</v>
      </c>
      <c r="B77" s="545" t="s">
        <v>127</v>
      </c>
      <c r="C77" s="335" t="s">
        <v>151</v>
      </c>
      <c r="D77" s="529">
        <v>376266494990</v>
      </c>
      <c r="E77" s="545">
        <v>350484</v>
      </c>
      <c r="F77" s="342"/>
      <c r="G77" s="524">
        <f>29.04+71.08</f>
        <v>100.12</v>
      </c>
      <c r="H77" s="545">
        <v>2667469</v>
      </c>
      <c r="J77" s="526" t="s">
        <v>2001</v>
      </c>
    </row>
    <row r="78" spans="1:10" s="336" customFormat="1" x14ac:dyDescent="0.25">
      <c r="A78" s="525">
        <v>42740</v>
      </c>
      <c r="B78" s="545" t="s">
        <v>127</v>
      </c>
      <c r="C78" s="335" t="s">
        <v>151</v>
      </c>
      <c r="D78" s="529">
        <v>376266494990</v>
      </c>
      <c r="E78" s="545">
        <v>350484</v>
      </c>
      <c r="F78" s="342"/>
      <c r="G78" s="524">
        <f>33.58+68.28</f>
        <v>101.86</v>
      </c>
      <c r="H78" s="545">
        <v>2680343</v>
      </c>
      <c r="J78" s="526" t="s">
        <v>2001</v>
      </c>
    </row>
    <row r="79" spans="1:10" s="336" customFormat="1" x14ac:dyDescent="0.25">
      <c r="A79" s="525">
        <v>42741</v>
      </c>
      <c r="B79" s="545" t="s">
        <v>127</v>
      </c>
      <c r="C79" s="335" t="s">
        <v>151</v>
      </c>
      <c r="D79" s="529">
        <v>376266494990</v>
      </c>
      <c r="E79" s="545">
        <v>350484</v>
      </c>
      <c r="F79" s="342"/>
      <c r="G79" s="524">
        <f>1.14+7.25</f>
        <v>8.39</v>
      </c>
      <c r="H79" s="545">
        <v>2684484</v>
      </c>
      <c r="J79" s="526" t="s">
        <v>2001</v>
      </c>
    </row>
    <row r="80" spans="1:10" s="336" customFormat="1" x14ac:dyDescent="0.25">
      <c r="A80" s="525">
        <v>42738</v>
      </c>
      <c r="B80" s="545" t="s">
        <v>127</v>
      </c>
      <c r="C80" s="335" t="s">
        <v>151</v>
      </c>
      <c r="D80" s="529">
        <v>376268127994</v>
      </c>
      <c r="E80" s="545">
        <v>350776</v>
      </c>
      <c r="F80" s="342"/>
      <c r="G80" s="524">
        <v>78.61</v>
      </c>
      <c r="H80" s="545">
        <v>2669676</v>
      </c>
      <c r="J80" s="526" t="s">
        <v>2005</v>
      </c>
    </row>
    <row r="81" spans="1:10" s="336" customFormat="1" x14ac:dyDescent="0.25">
      <c r="A81" s="525">
        <v>42738</v>
      </c>
      <c r="B81" s="545" t="s">
        <v>127</v>
      </c>
      <c r="C81" s="335" t="s">
        <v>151</v>
      </c>
      <c r="D81" s="529">
        <v>376271092995</v>
      </c>
      <c r="E81" s="545">
        <v>351307</v>
      </c>
      <c r="F81" s="342"/>
      <c r="G81" s="524">
        <f>20.82+34.13</f>
        <v>54.95</v>
      </c>
      <c r="H81" s="545">
        <v>2669999</v>
      </c>
      <c r="J81" s="526" t="s">
        <v>2017</v>
      </c>
    </row>
    <row r="82" spans="1:10" s="336" customFormat="1" x14ac:dyDescent="0.25">
      <c r="A82" s="525">
        <v>42741</v>
      </c>
      <c r="B82" s="545" t="s">
        <v>127</v>
      </c>
      <c r="C82" s="335" t="s">
        <v>151</v>
      </c>
      <c r="D82" s="529">
        <v>376271092995</v>
      </c>
      <c r="E82" s="545">
        <v>351307</v>
      </c>
      <c r="F82" s="342"/>
      <c r="G82" s="524">
        <f>15.5+92.4</f>
        <v>107.9</v>
      </c>
      <c r="H82" s="545">
        <v>2684836</v>
      </c>
      <c r="J82" s="526" t="s">
        <v>2017</v>
      </c>
    </row>
    <row r="83" spans="1:10" s="336" customFormat="1" x14ac:dyDescent="0.25">
      <c r="A83" s="525">
        <v>42741</v>
      </c>
      <c r="B83" s="545" t="s">
        <v>127</v>
      </c>
      <c r="C83" s="335" t="s">
        <v>151</v>
      </c>
      <c r="D83" s="529">
        <v>376271092995</v>
      </c>
      <c r="E83" s="545">
        <v>351307</v>
      </c>
      <c r="F83" s="342"/>
      <c r="G83" s="524">
        <f>8.37+88.53</f>
        <v>96.9</v>
      </c>
      <c r="H83" s="545">
        <v>2686626</v>
      </c>
      <c r="J83" s="526" t="s">
        <v>2017</v>
      </c>
    </row>
    <row r="84" spans="1:10" s="562" customFormat="1" x14ac:dyDescent="0.25">
      <c r="A84" s="535">
        <v>42743</v>
      </c>
      <c r="B84" s="322" t="s">
        <v>127</v>
      </c>
      <c r="C84" s="322"/>
      <c r="D84" s="392">
        <v>376270713997</v>
      </c>
      <c r="E84" s="550">
        <v>351215</v>
      </c>
      <c r="F84" s="550"/>
      <c r="G84" s="523">
        <v>53</v>
      </c>
      <c r="H84" s="550">
        <v>2686123</v>
      </c>
      <c r="J84" s="532" t="s">
        <v>279</v>
      </c>
    </row>
    <row r="85" spans="1:10" s="562" customFormat="1" x14ac:dyDescent="0.25">
      <c r="A85" s="535">
        <v>42744</v>
      </c>
      <c r="B85" s="322" t="s">
        <v>127</v>
      </c>
      <c r="C85" s="322"/>
      <c r="D85" s="392">
        <v>376270713997</v>
      </c>
      <c r="E85" s="550">
        <v>351215</v>
      </c>
      <c r="F85" s="550"/>
      <c r="G85" s="523">
        <v>88</v>
      </c>
      <c r="H85" s="550">
        <v>2687429</v>
      </c>
      <c r="J85" s="532" t="s">
        <v>279</v>
      </c>
    </row>
    <row r="86" spans="1:10" s="562" customFormat="1" x14ac:dyDescent="0.25">
      <c r="A86" s="535">
        <v>42744</v>
      </c>
      <c r="B86" s="322" t="s">
        <v>127</v>
      </c>
      <c r="C86" s="322"/>
      <c r="D86" s="392">
        <v>376270713997</v>
      </c>
      <c r="E86" s="550">
        <v>351215</v>
      </c>
      <c r="F86" s="550"/>
      <c r="G86" s="523">
        <v>52.68</v>
      </c>
      <c r="H86" s="550">
        <v>2690849</v>
      </c>
      <c r="J86" s="532" t="s">
        <v>279</v>
      </c>
    </row>
    <row r="87" spans="1:10" s="562" customFormat="1" x14ac:dyDescent="0.25">
      <c r="A87" s="535">
        <v>42744</v>
      </c>
      <c r="B87" s="322" t="s">
        <v>127</v>
      </c>
      <c r="C87" s="322"/>
      <c r="D87" s="392">
        <v>376270713997</v>
      </c>
      <c r="E87" s="550">
        <v>351215</v>
      </c>
      <c r="F87" s="550"/>
      <c r="G87" s="523">
        <v>190</v>
      </c>
      <c r="H87" s="550">
        <v>2688959</v>
      </c>
      <c r="J87" s="532" t="s">
        <v>279</v>
      </c>
    </row>
    <row r="88" spans="1:10" s="562" customFormat="1" x14ac:dyDescent="0.25">
      <c r="A88" s="535">
        <v>42744</v>
      </c>
      <c r="B88" s="322" t="s">
        <v>127</v>
      </c>
      <c r="C88" s="322"/>
      <c r="D88" s="392">
        <v>376270713997</v>
      </c>
      <c r="E88" s="550">
        <v>351215</v>
      </c>
      <c r="F88" s="550"/>
      <c r="G88" s="523">
        <v>62</v>
      </c>
      <c r="H88" s="550">
        <v>2690446</v>
      </c>
      <c r="J88" s="532" t="s">
        <v>279</v>
      </c>
    </row>
    <row r="89" spans="1:10" s="562" customFormat="1" x14ac:dyDescent="0.25">
      <c r="A89" s="535">
        <v>42744</v>
      </c>
      <c r="B89" s="322" t="s">
        <v>127</v>
      </c>
      <c r="C89" s="322"/>
      <c r="D89" s="392">
        <v>376270713997</v>
      </c>
      <c r="E89" s="550">
        <v>351215</v>
      </c>
      <c r="F89" s="550"/>
      <c r="G89" s="523">
        <v>253.11</v>
      </c>
      <c r="H89" s="550">
        <v>2691312</v>
      </c>
      <c r="J89" s="532" t="s">
        <v>279</v>
      </c>
    </row>
    <row r="90" spans="1:10" s="562" customFormat="1" x14ac:dyDescent="0.25">
      <c r="A90" s="535">
        <v>42744</v>
      </c>
      <c r="B90" s="322" t="s">
        <v>127</v>
      </c>
      <c r="C90" s="322"/>
      <c r="D90" s="392">
        <v>376270713997</v>
      </c>
      <c r="E90" s="550">
        <v>351215</v>
      </c>
      <c r="F90" s="550"/>
      <c r="G90" s="523">
        <v>95.26</v>
      </c>
      <c r="H90" s="550">
        <v>2682213</v>
      </c>
      <c r="J90" s="532" t="s">
        <v>279</v>
      </c>
    </row>
    <row r="91" spans="1:10" s="562" customFormat="1" x14ac:dyDescent="0.25">
      <c r="A91" s="535">
        <v>42744</v>
      </c>
      <c r="B91" s="322" t="s">
        <v>127</v>
      </c>
      <c r="C91" s="322"/>
      <c r="D91" s="392">
        <v>376270713997</v>
      </c>
      <c r="E91" s="550">
        <v>351215</v>
      </c>
      <c r="F91" s="550"/>
      <c r="G91" s="523">
        <v>224.2</v>
      </c>
      <c r="H91" s="550">
        <v>2687314</v>
      </c>
      <c r="J91" s="532" t="s">
        <v>279</v>
      </c>
    </row>
    <row r="92" spans="1:10" s="562" customFormat="1" ht="15.95" customHeight="1" x14ac:dyDescent="0.25">
      <c r="A92" s="535">
        <v>42745</v>
      </c>
      <c r="B92" s="322" t="s">
        <v>127</v>
      </c>
      <c r="C92" s="322"/>
      <c r="D92" s="392">
        <v>376270713997</v>
      </c>
      <c r="E92" s="550">
        <v>351215</v>
      </c>
      <c r="F92" s="550"/>
      <c r="G92" s="523">
        <v>106</v>
      </c>
      <c r="H92" s="550">
        <v>2688168</v>
      </c>
      <c r="J92" s="532" t="s">
        <v>279</v>
      </c>
    </row>
    <row r="93" spans="1:10" s="562" customFormat="1" x14ac:dyDescent="0.25">
      <c r="A93" s="535">
        <v>42746</v>
      </c>
      <c r="B93" s="322" t="s">
        <v>127</v>
      </c>
      <c r="C93" s="322"/>
      <c r="D93" s="392">
        <v>376270713997</v>
      </c>
      <c r="E93" s="550">
        <v>351215</v>
      </c>
      <c r="F93" s="550"/>
      <c r="G93" s="523">
        <v>118</v>
      </c>
      <c r="H93" s="550">
        <v>2693959</v>
      </c>
      <c r="J93" s="532" t="s">
        <v>279</v>
      </c>
    </row>
    <row r="94" spans="1:10" s="562" customFormat="1" x14ac:dyDescent="0.25">
      <c r="A94" s="535">
        <v>42746</v>
      </c>
      <c r="B94" s="322" t="s">
        <v>127</v>
      </c>
      <c r="C94" s="322"/>
      <c r="D94" s="392">
        <v>376270713997</v>
      </c>
      <c r="E94" s="550">
        <v>351215</v>
      </c>
      <c r="F94" s="550"/>
      <c r="G94" s="523">
        <v>57.5</v>
      </c>
      <c r="H94" s="550">
        <v>2691874</v>
      </c>
      <c r="J94" s="532" t="s">
        <v>279</v>
      </c>
    </row>
    <row r="95" spans="1:10" s="562" customFormat="1" x14ac:dyDescent="0.25">
      <c r="A95" s="535">
        <v>42746</v>
      </c>
      <c r="B95" s="322" t="s">
        <v>127</v>
      </c>
      <c r="C95" s="322"/>
      <c r="D95" s="392">
        <v>376270713997</v>
      </c>
      <c r="E95" s="550">
        <v>351215</v>
      </c>
      <c r="F95" s="550"/>
      <c r="G95" s="523">
        <v>53</v>
      </c>
      <c r="H95" s="550">
        <v>2694714</v>
      </c>
      <c r="J95" s="532" t="s">
        <v>279</v>
      </c>
    </row>
    <row r="96" spans="1:10" s="562" customFormat="1" x14ac:dyDescent="0.25">
      <c r="A96" s="535">
        <v>42747</v>
      </c>
      <c r="B96" s="322" t="s">
        <v>127</v>
      </c>
      <c r="C96" s="322"/>
      <c r="D96" s="392">
        <v>376270713997</v>
      </c>
      <c r="E96" s="550">
        <v>351215</v>
      </c>
      <c r="F96" s="550"/>
      <c r="G96" s="523">
        <v>430.62</v>
      </c>
      <c r="H96" s="550">
        <v>2697476</v>
      </c>
      <c r="J96" s="532" t="s">
        <v>279</v>
      </c>
    </row>
    <row r="97" spans="1:10" s="562" customFormat="1" x14ac:dyDescent="0.25">
      <c r="A97" s="535">
        <v>42748</v>
      </c>
      <c r="B97" s="322" t="s">
        <v>127</v>
      </c>
      <c r="C97" s="322"/>
      <c r="D97" s="392">
        <v>376270713997</v>
      </c>
      <c r="E97" s="550">
        <v>351215</v>
      </c>
      <c r="F97" s="550"/>
      <c r="G97" s="523">
        <v>153.13</v>
      </c>
      <c r="H97" s="550">
        <v>2701920</v>
      </c>
      <c r="J97" s="532" t="s">
        <v>279</v>
      </c>
    </row>
    <row r="98" spans="1:10" s="562" customFormat="1" x14ac:dyDescent="0.25">
      <c r="A98" s="535">
        <v>42748</v>
      </c>
      <c r="B98" s="322" t="s">
        <v>127</v>
      </c>
      <c r="C98" s="322"/>
      <c r="D98" s="392">
        <v>376270713997</v>
      </c>
      <c r="E98" s="550">
        <v>351215</v>
      </c>
      <c r="F98" s="550"/>
      <c r="G98" s="523">
        <v>56.64</v>
      </c>
      <c r="H98" s="550">
        <v>2706706</v>
      </c>
      <c r="J98" s="532" t="s">
        <v>279</v>
      </c>
    </row>
    <row r="99" spans="1:10" s="562" customFormat="1" x14ac:dyDescent="0.25">
      <c r="A99" s="535">
        <v>42748</v>
      </c>
      <c r="B99" s="322" t="s">
        <v>127</v>
      </c>
      <c r="C99" s="322"/>
      <c r="D99" s="392">
        <v>376270713997</v>
      </c>
      <c r="E99" s="550">
        <v>351215</v>
      </c>
      <c r="F99" s="550"/>
      <c r="G99" s="523">
        <v>96</v>
      </c>
      <c r="H99" s="550">
        <v>2696700</v>
      </c>
      <c r="J99" s="532" t="s">
        <v>279</v>
      </c>
    </row>
    <row r="100" spans="1:10" s="562" customFormat="1" x14ac:dyDescent="0.25">
      <c r="A100" s="535">
        <v>42748</v>
      </c>
      <c r="B100" s="322" t="s">
        <v>127</v>
      </c>
      <c r="C100" s="322"/>
      <c r="D100" s="392">
        <v>376270713997</v>
      </c>
      <c r="E100" s="550">
        <v>351215</v>
      </c>
      <c r="F100" s="550"/>
      <c r="G100" s="523">
        <v>53.34</v>
      </c>
      <c r="H100" s="550">
        <v>2705005</v>
      </c>
      <c r="J100" s="532" t="s">
        <v>279</v>
      </c>
    </row>
    <row r="101" spans="1:10" s="336" customFormat="1" x14ac:dyDescent="0.25">
      <c r="A101" s="530">
        <v>42743</v>
      </c>
      <c r="B101" s="335" t="s">
        <v>127</v>
      </c>
      <c r="C101" s="335" t="s">
        <v>151</v>
      </c>
      <c r="D101" s="529">
        <v>376268723990</v>
      </c>
      <c r="E101" s="342">
        <v>350843</v>
      </c>
      <c r="F101" s="342"/>
      <c r="G101" s="522">
        <f>32.39+60.42</f>
        <v>92.81</v>
      </c>
      <c r="H101" s="342">
        <v>2688343</v>
      </c>
      <c r="J101" s="521" t="s">
        <v>2013</v>
      </c>
    </row>
    <row r="102" spans="1:10" s="336" customFormat="1" x14ac:dyDescent="0.25">
      <c r="A102" s="530">
        <v>42744</v>
      </c>
      <c r="B102" s="335" t="s">
        <v>127</v>
      </c>
      <c r="C102" s="335" t="s">
        <v>151</v>
      </c>
      <c r="D102" s="529">
        <v>376268723990</v>
      </c>
      <c r="E102" s="342">
        <v>350843</v>
      </c>
      <c r="F102" s="342"/>
      <c r="G102" s="522">
        <f>16.81+36.83</f>
        <v>53.64</v>
      </c>
      <c r="H102" s="342">
        <v>2689267</v>
      </c>
      <c r="J102" s="521" t="s">
        <v>2013</v>
      </c>
    </row>
    <row r="103" spans="1:10" s="336" customFormat="1" x14ac:dyDescent="0.25">
      <c r="A103" s="530">
        <v>42745</v>
      </c>
      <c r="B103" s="335" t="s">
        <v>127</v>
      </c>
      <c r="C103" s="335" t="s">
        <v>151</v>
      </c>
      <c r="D103" s="529">
        <v>376268723990</v>
      </c>
      <c r="E103" s="342">
        <v>350843</v>
      </c>
      <c r="F103" s="342"/>
      <c r="G103" s="522">
        <f>4.81+51.95</f>
        <v>56.760000000000005</v>
      </c>
      <c r="H103" s="342">
        <v>2692666</v>
      </c>
      <c r="J103" s="521" t="s">
        <v>2013</v>
      </c>
    </row>
    <row r="104" spans="1:10" s="336" customFormat="1" x14ac:dyDescent="0.25">
      <c r="A104" s="530">
        <v>42745</v>
      </c>
      <c r="B104" s="335" t="s">
        <v>127</v>
      </c>
      <c r="C104" s="335" t="s">
        <v>151</v>
      </c>
      <c r="D104" s="529">
        <v>376268723990</v>
      </c>
      <c r="E104" s="342">
        <v>350843</v>
      </c>
      <c r="F104" s="342"/>
      <c r="G104" s="522">
        <f>17.59+57.97</f>
        <v>75.56</v>
      </c>
      <c r="H104" s="342">
        <v>2694169</v>
      </c>
      <c r="J104" s="521" t="s">
        <v>2013</v>
      </c>
    </row>
    <row r="105" spans="1:10" s="336" customFormat="1" x14ac:dyDescent="0.25">
      <c r="A105" s="530">
        <v>42745</v>
      </c>
      <c r="B105" s="335" t="s">
        <v>127</v>
      </c>
      <c r="C105" s="335" t="s">
        <v>151</v>
      </c>
      <c r="D105" s="529">
        <v>376268723990</v>
      </c>
      <c r="E105" s="342">
        <v>350843</v>
      </c>
      <c r="F105" s="342"/>
      <c r="G105" s="522">
        <f>6.81+14.93</f>
        <v>21.74</v>
      </c>
      <c r="H105" s="342">
        <v>2693884</v>
      </c>
      <c r="J105" s="521" t="s">
        <v>2013</v>
      </c>
    </row>
    <row r="106" spans="1:10" s="336" customFormat="1" x14ac:dyDescent="0.25">
      <c r="A106" s="530">
        <v>42745</v>
      </c>
      <c r="B106" s="335" t="s">
        <v>127</v>
      </c>
      <c r="C106" s="335" t="s">
        <v>151</v>
      </c>
      <c r="D106" s="529">
        <v>376268723990</v>
      </c>
      <c r="E106" s="342">
        <v>350843</v>
      </c>
      <c r="F106" s="342"/>
      <c r="G106" s="522">
        <f>2.58+27.85</f>
        <v>30.43</v>
      </c>
      <c r="H106" s="342">
        <v>2677199</v>
      </c>
      <c r="J106" s="521" t="s">
        <v>2013</v>
      </c>
    </row>
    <row r="107" spans="1:10" s="336" customFormat="1" x14ac:dyDescent="0.25">
      <c r="A107" s="530">
        <v>42746</v>
      </c>
      <c r="B107" s="335" t="s">
        <v>127</v>
      </c>
      <c r="C107" s="335" t="s">
        <v>151</v>
      </c>
      <c r="D107" s="529">
        <v>376268723990</v>
      </c>
      <c r="E107" s="342">
        <v>350843</v>
      </c>
      <c r="F107" s="342"/>
      <c r="G107" s="522">
        <f>52.36+175.92</f>
        <v>228.27999999999997</v>
      </c>
      <c r="H107" s="342">
        <v>2696314</v>
      </c>
      <c r="J107" s="521" t="s">
        <v>2013</v>
      </c>
    </row>
    <row r="108" spans="1:10" s="336" customFormat="1" x14ac:dyDescent="0.25">
      <c r="A108" s="530">
        <v>42746</v>
      </c>
      <c r="B108" s="335" t="s">
        <v>127</v>
      </c>
      <c r="C108" s="335" t="s">
        <v>151</v>
      </c>
      <c r="D108" s="529">
        <v>376268723990</v>
      </c>
      <c r="E108" s="342">
        <v>350843</v>
      </c>
      <c r="F108" s="342"/>
      <c r="G108" s="522">
        <f>58.72+123.91</f>
        <v>182.63</v>
      </c>
      <c r="H108" s="342">
        <v>2697670</v>
      </c>
      <c r="J108" s="521" t="s">
        <v>2013</v>
      </c>
    </row>
    <row r="109" spans="1:10" s="336" customFormat="1" x14ac:dyDescent="0.25">
      <c r="A109" s="530">
        <v>42746</v>
      </c>
      <c r="B109" s="335" t="s">
        <v>127</v>
      </c>
      <c r="C109" s="335" t="s">
        <v>151</v>
      </c>
      <c r="D109" s="529">
        <v>376268723990</v>
      </c>
      <c r="E109" s="342">
        <v>350843</v>
      </c>
      <c r="F109" s="342"/>
      <c r="G109" s="522">
        <f>12.92+42.59</f>
        <v>55.510000000000005</v>
      </c>
      <c r="H109" s="342">
        <v>2699226</v>
      </c>
      <c r="J109" s="521" t="s">
        <v>2013</v>
      </c>
    </row>
    <row r="110" spans="1:10" s="336" customFormat="1" x14ac:dyDescent="0.25">
      <c r="A110" s="530">
        <v>42746</v>
      </c>
      <c r="B110" s="335" t="s">
        <v>127</v>
      </c>
      <c r="C110" s="335" t="s">
        <v>151</v>
      </c>
      <c r="D110" s="529">
        <v>376268723990</v>
      </c>
      <c r="E110" s="342">
        <v>350843</v>
      </c>
      <c r="F110" s="342"/>
      <c r="G110" s="522">
        <f>87.9+182.11</f>
        <v>270.01</v>
      </c>
      <c r="H110" s="342">
        <v>2697438</v>
      </c>
      <c r="J110" s="521" t="s">
        <v>2013</v>
      </c>
    </row>
    <row r="111" spans="1:10" s="336" customFormat="1" x14ac:dyDescent="0.25">
      <c r="A111" s="530" t="s">
        <v>280</v>
      </c>
      <c r="B111" s="335" t="s">
        <v>127</v>
      </c>
      <c r="C111" s="335" t="s">
        <v>151</v>
      </c>
      <c r="D111" s="529">
        <v>376268723990</v>
      </c>
      <c r="E111" s="342">
        <v>350843</v>
      </c>
      <c r="F111" s="342"/>
      <c r="G111" s="522">
        <f>18.85+41.26</f>
        <v>60.11</v>
      </c>
      <c r="H111" s="342">
        <v>2701019</v>
      </c>
      <c r="J111" s="521" t="s">
        <v>2013</v>
      </c>
    </row>
    <row r="112" spans="1:10" s="336" customFormat="1" x14ac:dyDescent="0.25">
      <c r="A112" s="530">
        <v>42747</v>
      </c>
      <c r="B112" s="335" t="s">
        <v>127</v>
      </c>
      <c r="C112" s="335" t="s">
        <v>151</v>
      </c>
      <c r="D112" s="529">
        <v>376268723990</v>
      </c>
      <c r="E112" s="342">
        <v>350843</v>
      </c>
      <c r="F112" s="342"/>
      <c r="G112" s="522">
        <f>12.32+60.01</f>
        <v>72.33</v>
      </c>
      <c r="H112" s="342">
        <v>2693362</v>
      </c>
      <c r="J112" s="521" t="s">
        <v>2013</v>
      </c>
    </row>
    <row r="113" spans="1:10" s="336" customFormat="1" x14ac:dyDescent="0.25">
      <c r="A113" s="530">
        <v>42747</v>
      </c>
      <c r="B113" s="335" t="s">
        <v>127</v>
      </c>
      <c r="C113" s="335" t="s">
        <v>151</v>
      </c>
      <c r="D113" s="529">
        <v>376268723990</v>
      </c>
      <c r="E113" s="342">
        <v>350843</v>
      </c>
      <c r="F113" s="342"/>
      <c r="G113" s="527">
        <f>41.82+148.18</f>
        <v>190</v>
      </c>
      <c r="H113" s="342">
        <v>2701248</v>
      </c>
      <c r="J113" s="521" t="s">
        <v>2013</v>
      </c>
    </row>
    <row r="114" spans="1:10" s="336" customFormat="1" x14ac:dyDescent="0.25">
      <c r="A114" s="530">
        <v>42748</v>
      </c>
      <c r="B114" s="335" t="s">
        <v>127</v>
      </c>
      <c r="C114" s="335" t="s">
        <v>151</v>
      </c>
      <c r="D114" s="529">
        <v>376268723990</v>
      </c>
      <c r="E114" s="342">
        <v>350843</v>
      </c>
      <c r="F114" s="342"/>
      <c r="G114" s="527">
        <f>17.22+9</f>
        <v>26.22</v>
      </c>
      <c r="H114" s="342">
        <v>2707520</v>
      </c>
      <c r="J114" s="521" t="s">
        <v>2013</v>
      </c>
    </row>
    <row r="115" spans="1:10" s="336" customFormat="1" x14ac:dyDescent="0.25">
      <c r="A115" s="530">
        <v>42748</v>
      </c>
      <c r="B115" s="335" t="s">
        <v>127</v>
      </c>
      <c r="C115" s="335" t="s">
        <v>151</v>
      </c>
      <c r="D115" s="529">
        <v>376268723990</v>
      </c>
      <c r="E115" s="342">
        <v>350843</v>
      </c>
      <c r="F115" s="342"/>
      <c r="G115" s="527">
        <f>9.03+48.5</f>
        <v>57.53</v>
      </c>
      <c r="H115" s="342">
        <v>2702300</v>
      </c>
      <c r="J115" s="521" t="s">
        <v>2013</v>
      </c>
    </row>
    <row r="116" spans="1:10" s="336" customFormat="1" x14ac:dyDescent="0.25">
      <c r="A116" s="530">
        <v>42744</v>
      </c>
      <c r="B116" s="335" t="s">
        <v>127</v>
      </c>
      <c r="C116" s="335" t="s">
        <v>151</v>
      </c>
      <c r="D116" s="529">
        <v>376268127994</v>
      </c>
      <c r="E116" s="342">
        <v>350776</v>
      </c>
      <c r="F116" s="342"/>
      <c r="G116" s="527">
        <f>53.8+178.83</f>
        <v>232.63</v>
      </c>
      <c r="H116" s="342">
        <v>2687103</v>
      </c>
      <c r="J116" s="521" t="s">
        <v>2013</v>
      </c>
    </row>
    <row r="117" spans="1:10" s="336" customFormat="1" x14ac:dyDescent="0.25">
      <c r="A117" s="530">
        <v>42745</v>
      </c>
      <c r="B117" s="335" t="s">
        <v>127</v>
      </c>
      <c r="C117" s="335" t="s">
        <v>151</v>
      </c>
      <c r="D117" s="529">
        <v>376268127994</v>
      </c>
      <c r="E117" s="342">
        <v>350776</v>
      </c>
      <c r="F117" s="342"/>
      <c r="G117" s="527">
        <f>71.06+87.88</f>
        <v>158.94</v>
      </c>
      <c r="H117" s="342">
        <v>2692533</v>
      </c>
      <c r="J117" s="521" t="s">
        <v>2006</v>
      </c>
    </row>
    <row r="118" spans="1:10" s="336" customFormat="1" x14ac:dyDescent="0.25">
      <c r="A118" s="530">
        <v>42746</v>
      </c>
      <c r="B118" s="335" t="s">
        <v>127</v>
      </c>
      <c r="C118" s="335" t="s">
        <v>151</v>
      </c>
      <c r="D118" s="529">
        <v>376268127994</v>
      </c>
      <c r="E118" s="342">
        <v>350776</v>
      </c>
      <c r="F118" s="342"/>
      <c r="G118" s="527">
        <f>12.71+46.49</f>
        <v>59.2</v>
      </c>
      <c r="H118" s="342">
        <v>2699622</v>
      </c>
      <c r="J118" s="521" t="s">
        <v>2006</v>
      </c>
    </row>
    <row r="119" spans="1:10" s="336" customFormat="1" x14ac:dyDescent="0.25">
      <c r="A119" s="530">
        <v>42745</v>
      </c>
      <c r="B119" s="335" t="s">
        <v>127</v>
      </c>
      <c r="C119" s="335" t="s">
        <v>151</v>
      </c>
      <c r="D119" s="529">
        <v>376266494990</v>
      </c>
      <c r="E119" s="342">
        <v>350484</v>
      </c>
      <c r="F119" s="342"/>
      <c r="G119" s="527">
        <f>7.84+35.36</f>
        <v>43.2</v>
      </c>
      <c r="H119" s="342">
        <v>2693810</v>
      </c>
      <c r="J119" s="521" t="s">
        <v>2002</v>
      </c>
    </row>
    <row r="120" spans="1:10" s="336" customFormat="1" x14ac:dyDescent="0.25">
      <c r="A120" s="530">
        <v>42747</v>
      </c>
      <c r="B120" s="335" t="s">
        <v>127</v>
      </c>
      <c r="C120" s="335" t="s">
        <v>151</v>
      </c>
      <c r="D120" s="529">
        <v>376266494990</v>
      </c>
      <c r="E120" s="342">
        <v>350484</v>
      </c>
      <c r="F120" s="342"/>
      <c r="G120" s="527">
        <f>14.46+71.05</f>
        <v>85.509999999999991</v>
      </c>
      <c r="H120" s="342">
        <v>2701856</v>
      </c>
      <c r="J120" s="521" t="s">
        <v>2002</v>
      </c>
    </row>
    <row r="121" spans="1:10" s="336" customFormat="1" x14ac:dyDescent="0.25">
      <c r="A121" s="530">
        <v>42747</v>
      </c>
      <c r="B121" s="335" t="s">
        <v>127</v>
      </c>
      <c r="C121" s="335" t="s">
        <v>151</v>
      </c>
      <c r="D121" s="529">
        <v>376266494990</v>
      </c>
      <c r="E121" s="342">
        <v>350484</v>
      </c>
      <c r="F121" s="342"/>
      <c r="G121" s="527">
        <f>18.74+39.23</f>
        <v>57.97</v>
      </c>
      <c r="H121" s="342">
        <v>2704521</v>
      </c>
      <c r="J121" s="521" t="s">
        <v>2002</v>
      </c>
    </row>
    <row r="122" spans="1:10" s="336" customFormat="1" x14ac:dyDescent="0.25">
      <c r="A122" s="530">
        <v>42745</v>
      </c>
      <c r="B122" s="335" t="s">
        <v>127</v>
      </c>
      <c r="C122" s="335" t="s">
        <v>151</v>
      </c>
      <c r="D122" s="529">
        <v>376268786997</v>
      </c>
      <c r="E122" s="342">
        <v>350875</v>
      </c>
      <c r="F122" s="342"/>
      <c r="G122" s="527">
        <f>17.23+39.96</f>
        <v>57.19</v>
      </c>
      <c r="H122" s="342">
        <v>2691490</v>
      </c>
      <c r="J122" s="521" t="s">
        <v>2009</v>
      </c>
    </row>
    <row r="123" spans="1:10" s="336" customFormat="1" x14ac:dyDescent="0.25">
      <c r="A123" s="530">
        <v>42748</v>
      </c>
      <c r="B123" s="335" t="s">
        <v>127</v>
      </c>
      <c r="C123" s="335" t="s">
        <v>151</v>
      </c>
      <c r="D123" s="529">
        <v>376268786997</v>
      </c>
      <c r="E123" s="342">
        <v>350875</v>
      </c>
      <c r="F123" s="342"/>
      <c r="G123" s="527">
        <f>23.07+29.88</f>
        <v>52.95</v>
      </c>
      <c r="H123" s="342">
        <v>2703707</v>
      </c>
      <c r="J123" s="521" t="s">
        <v>2009</v>
      </c>
    </row>
    <row r="124" spans="1:10" s="336" customFormat="1" x14ac:dyDescent="0.25">
      <c r="A124" s="530">
        <v>42744</v>
      </c>
      <c r="B124" s="335" t="s">
        <v>127</v>
      </c>
      <c r="C124" s="335" t="s">
        <v>151</v>
      </c>
      <c r="D124" s="529">
        <v>376271092995</v>
      </c>
      <c r="E124" s="342">
        <v>351307</v>
      </c>
      <c r="F124" s="342"/>
      <c r="G124" s="527">
        <f>11.21+35.69</f>
        <v>46.9</v>
      </c>
      <c r="H124" s="342">
        <v>2688125</v>
      </c>
      <c r="J124" s="521" t="s">
        <v>2019</v>
      </c>
    </row>
    <row r="125" spans="1:10" s="336" customFormat="1" x14ac:dyDescent="0.25">
      <c r="A125" s="530">
        <v>42744</v>
      </c>
      <c r="B125" s="335" t="s">
        <v>127</v>
      </c>
      <c r="C125" s="335" t="s">
        <v>151</v>
      </c>
      <c r="D125" s="529">
        <v>376271092995</v>
      </c>
      <c r="E125" s="342">
        <v>351307</v>
      </c>
      <c r="F125" s="545"/>
      <c r="G125" s="527">
        <f>4.85+47.1</f>
        <v>51.95</v>
      </c>
      <c r="H125" s="342">
        <v>2689449</v>
      </c>
      <c r="J125" s="521" t="s">
        <v>2018</v>
      </c>
    </row>
    <row r="126" spans="1:10" s="562" customFormat="1" x14ac:dyDescent="0.25">
      <c r="A126" s="535">
        <v>42752</v>
      </c>
      <c r="B126" s="322" t="s">
        <v>127</v>
      </c>
      <c r="C126" s="322"/>
      <c r="D126" s="392">
        <v>376270713997</v>
      </c>
      <c r="E126" s="532">
        <v>351215</v>
      </c>
      <c r="F126" s="550"/>
      <c r="G126" s="523">
        <v>159.5</v>
      </c>
      <c r="H126" s="550">
        <v>2712166</v>
      </c>
      <c r="J126" s="532" t="s">
        <v>273</v>
      </c>
    </row>
    <row r="127" spans="1:10" s="562" customFormat="1" x14ac:dyDescent="0.25">
      <c r="A127" s="535">
        <v>42752</v>
      </c>
      <c r="B127" s="322" t="s">
        <v>127</v>
      </c>
      <c r="C127" s="322"/>
      <c r="D127" s="392">
        <v>376270713997</v>
      </c>
      <c r="E127" s="532">
        <v>351215</v>
      </c>
      <c r="F127" s="550"/>
      <c r="G127" s="523">
        <v>50.78</v>
      </c>
      <c r="H127" s="550">
        <v>2717651</v>
      </c>
      <c r="J127" s="532" t="s">
        <v>273</v>
      </c>
    </row>
    <row r="128" spans="1:10" s="562" customFormat="1" x14ac:dyDescent="0.25">
      <c r="A128" s="535">
        <v>42752</v>
      </c>
      <c r="B128" s="322" t="s">
        <v>127</v>
      </c>
      <c r="C128" s="322"/>
      <c r="D128" s="392">
        <v>376270713997</v>
      </c>
      <c r="E128" s="532">
        <v>351215</v>
      </c>
      <c r="F128" s="550"/>
      <c r="G128" s="523">
        <v>51.36</v>
      </c>
      <c r="H128" s="550">
        <v>2715685</v>
      </c>
      <c r="J128" s="532" t="s">
        <v>273</v>
      </c>
    </row>
    <row r="129" spans="1:10" s="562" customFormat="1" x14ac:dyDescent="0.25">
      <c r="A129" s="535">
        <v>42752</v>
      </c>
      <c r="B129" s="322" t="s">
        <v>127</v>
      </c>
      <c r="C129" s="322"/>
      <c r="D129" s="392">
        <v>376270713997</v>
      </c>
      <c r="E129" s="532">
        <v>351215</v>
      </c>
      <c r="F129" s="550"/>
      <c r="G129" s="523">
        <v>219.6</v>
      </c>
      <c r="H129" s="550">
        <v>2715499</v>
      </c>
      <c r="J129" s="532" t="s">
        <v>273</v>
      </c>
    </row>
    <row r="130" spans="1:10" s="562" customFormat="1" x14ac:dyDescent="0.25">
      <c r="A130" s="535">
        <v>42752</v>
      </c>
      <c r="B130" s="322" t="s">
        <v>127</v>
      </c>
      <c r="C130" s="322"/>
      <c r="D130" s="392">
        <v>376270713997</v>
      </c>
      <c r="E130" s="532">
        <v>351215</v>
      </c>
      <c r="F130" s="550"/>
      <c r="G130" s="523">
        <v>68.83</v>
      </c>
      <c r="H130" s="550">
        <v>2713654</v>
      </c>
      <c r="J130" s="532" t="s">
        <v>273</v>
      </c>
    </row>
    <row r="131" spans="1:10" s="562" customFormat="1" x14ac:dyDescent="0.25">
      <c r="A131" s="535">
        <v>42752</v>
      </c>
      <c r="B131" s="322" t="s">
        <v>127</v>
      </c>
      <c r="C131" s="322"/>
      <c r="D131" s="392">
        <v>376270713997</v>
      </c>
      <c r="E131" s="532">
        <v>351215</v>
      </c>
      <c r="F131" s="550"/>
      <c r="G131" s="523">
        <v>109.8</v>
      </c>
      <c r="H131" s="550">
        <v>2712731</v>
      </c>
      <c r="J131" s="532" t="s">
        <v>273</v>
      </c>
    </row>
    <row r="132" spans="1:10" s="562" customFormat="1" x14ac:dyDescent="0.25">
      <c r="A132" s="535">
        <v>42753</v>
      </c>
      <c r="B132" s="322" t="s">
        <v>127</v>
      </c>
      <c r="C132" s="322"/>
      <c r="D132" s="392">
        <v>376270713997</v>
      </c>
      <c r="E132" s="532">
        <v>351215</v>
      </c>
      <c r="F132" s="550"/>
      <c r="G132" s="523">
        <v>121.24</v>
      </c>
      <c r="H132" s="550">
        <v>2721885</v>
      </c>
      <c r="J132" s="532" t="s">
        <v>273</v>
      </c>
    </row>
    <row r="133" spans="1:10" s="562" customFormat="1" x14ac:dyDescent="0.25">
      <c r="A133" s="535">
        <v>42753</v>
      </c>
      <c r="B133" s="322" t="s">
        <v>127</v>
      </c>
      <c r="C133" s="322"/>
      <c r="D133" s="392">
        <v>376270713997</v>
      </c>
      <c r="E133" s="532">
        <v>351215</v>
      </c>
      <c r="F133" s="550"/>
      <c r="G133" s="523">
        <v>57.9</v>
      </c>
      <c r="H133" s="550">
        <v>2720046</v>
      </c>
      <c r="J133" s="532" t="s">
        <v>273</v>
      </c>
    </row>
    <row r="134" spans="1:10" s="562" customFormat="1" x14ac:dyDescent="0.25">
      <c r="A134" s="535">
        <v>42753</v>
      </c>
      <c r="B134" s="322" t="s">
        <v>127</v>
      </c>
      <c r="C134" s="322"/>
      <c r="D134" s="392">
        <v>376270713997</v>
      </c>
      <c r="E134" s="532">
        <v>351215</v>
      </c>
      <c r="F134" s="550"/>
      <c r="G134" s="523">
        <v>65.88</v>
      </c>
      <c r="H134" s="550">
        <v>2721461</v>
      </c>
      <c r="J134" s="532" t="s">
        <v>273</v>
      </c>
    </row>
    <row r="135" spans="1:10" s="562" customFormat="1" x14ac:dyDescent="0.25">
      <c r="A135" s="535">
        <v>42753</v>
      </c>
      <c r="B135" s="322" t="s">
        <v>127</v>
      </c>
      <c r="C135" s="322"/>
      <c r="D135" s="392">
        <v>376270713997</v>
      </c>
      <c r="E135" s="532">
        <v>351215</v>
      </c>
      <c r="F135" s="550"/>
      <c r="G135" s="523">
        <v>97</v>
      </c>
      <c r="H135" s="550">
        <v>2719245</v>
      </c>
      <c r="J135" s="532" t="s">
        <v>273</v>
      </c>
    </row>
    <row r="136" spans="1:10" s="562" customFormat="1" x14ac:dyDescent="0.25">
      <c r="A136" s="535">
        <v>42753</v>
      </c>
      <c r="B136" s="322" t="s">
        <v>127</v>
      </c>
      <c r="C136" s="322"/>
      <c r="D136" s="392">
        <v>376270713997</v>
      </c>
      <c r="E136" s="532">
        <v>351215</v>
      </c>
      <c r="F136" s="550"/>
      <c r="G136" s="523">
        <v>68.209999999999994</v>
      </c>
      <c r="H136" s="550">
        <v>2712799</v>
      </c>
      <c r="J136" s="532" t="s">
        <v>273</v>
      </c>
    </row>
    <row r="137" spans="1:10" s="562" customFormat="1" x14ac:dyDescent="0.25">
      <c r="A137" s="535">
        <v>42754</v>
      </c>
      <c r="B137" s="322" t="s">
        <v>127</v>
      </c>
      <c r="C137" s="322"/>
      <c r="D137" s="392">
        <v>376270713997</v>
      </c>
      <c r="E137" s="532">
        <v>351215</v>
      </c>
      <c r="F137" s="550"/>
      <c r="G137" s="523">
        <v>74</v>
      </c>
      <c r="H137" s="550">
        <v>2715647</v>
      </c>
      <c r="J137" s="532" t="s">
        <v>273</v>
      </c>
    </row>
    <row r="138" spans="1:10" s="562" customFormat="1" x14ac:dyDescent="0.25">
      <c r="A138" s="535">
        <v>42754</v>
      </c>
      <c r="B138" s="322" t="s">
        <v>127</v>
      </c>
      <c r="C138" s="322"/>
      <c r="D138" s="392">
        <v>376270713997</v>
      </c>
      <c r="E138" s="532">
        <v>351215</v>
      </c>
      <c r="F138" s="550"/>
      <c r="G138" s="523">
        <v>159</v>
      </c>
      <c r="H138" s="550">
        <v>2723314</v>
      </c>
      <c r="J138" s="532" t="s">
        <v>273</v>
      </c>
    </row>
    <row r="139" spans="1:10" s="562" customFormat="1" x14ac:dyDescent="0.25">
      <c r="A139" s="535">
        <v>42754</v>
      </c>
      <c r="B139" s="322" t="s">
        <v>127</v>
      </c>
      <c r="C139" s="322"/>
      <c r="D139" s="392">
        <v>376270713997</v>
      </c>
      <c r="E139" s="532">
        <v>351215</v>
      </c>
      <c r="F139" s="550"/>
      <c r="G139" s="523">
        <v>53</v>
      </c>
      <c r="H139" s="550">
        <v>2722857</v>
      </c>
      <c r="J139" s="532" t="s">
        <v>273</v>
      </c>
    </row>
    <row r="140" spans="1:10" s="562" customFormat="1" x14ac:dyDescent="0.25">
      <c r="A140" s="535">
        <v>42754</v>
      </c>
      <c r="B140" s="322" t="s">
        <v>127</v>
      </c>
      <c r="C140" s="322"/>
      <c r="D140" s="392">
        <v>376270713997</v>
      </c>
      <c r="E140" s="532">
        <v>351215</v>
      </c>
      <c r="F140" s="550"/>
      <c r="G140" s="523">
        <v>250.65</v>
      </c>
      <c r="H140" s="550">
        <v>2722360</v>
      </c>
      <c r="J140" s="532" t="s">
        <v>273</v>
      </c>
    </row>
    <row r="141" spans="1:10" s="562" customFormat="1" x14ac:dyDescent="0.25">
      <c r="A141" s="535">
        <v>42754</v>
      </c>
      <c r="B141" s="322" t="s">
        <v>127</v>
      </c>
      <c r="C141" s="322"/>
      <c r="D141" s="392">
        <v>376270713997</v>
      </c>
      <c r="E141" s="532">
        <v>351215</v>
      </c>
      <c r="F141" s="550"/>
      <c r="G141" s="523">
        <v>440</v>
      </c>
      <c r="H141" s="550">
        <v>2722469</v>
      </c>
      <c r="J141" s="532" t="s">
        <v>273</v>
      </c>
    </row>
    <row r="142" spans="1:10" s="562" customFormat="1" x14ac:dyDescent="0.25">
      <c r="A142" s="535">
        <v>42755</v>
      </c>
      <c r="B142" s="322" t="s">
        <v>127</v>
      </c>
      <c r="C142" s="322"/>
      <c r="D142" s="392">
        <v>376270713997</v>
      </c>
      <c r="E142" s="532">
        <v>351215</v>
      </c>
      <c r="F142" s="550"/>
      <c r="G142" s="523">
        <v>58</v>
      </c>
      <c r="H142" s="550">
        <v>2725911</v>
      </c>
      <c r="J142" s="532" t="s">
        <v>273</v>
      </c>
    </row>
    <row r="143" spans="1:10" s="562" customFormat="1" x14ac:dyDescent="0.25">
      <c r="A143" s="535">
        <v>42755</v>
      </c>
      <c r="B143" s="322" t="s">
        <v>127</v>
      </c>
      <c r="C143" s="322"/>
      <c r="D143" s="392">
        <v>376270713997</v>
      </c>
      <c r="E143" s="532">
        <v>351215</v>
      </c>
      <c r="F143" s="550"/>
      <c r="G143" s="523">
        <v>212.4</v>
      </c>
      <c r="H143" s="550">
        <v>2726114</v>
      </c>
      <c r="J143" s="532" t="s">
        <v>273</v>
      </c>
    </row>
    <row r="144" spans="1:10" s="336" customFormat="1" x14ac:dyDescent="0.25">
      <c r="A144" s="530">
        <v>42751</v>
      </c>
      <c r="B144" s="335" t="s">
        <v>127</v>
      </c>
      <c r="C144" s="335" t="s">
        <v>151</v>
      </c>
      <c r="D144" s="529">
        <v>376268723990</v>
      </c>
      <c r="E144" s="545">
        <v>350843</v>
      </c>
      <c r="F144" s="342"/>
      <c r="G144" s="527">
        <f>6.91+32.05</f>
        <v>38.959999999999994</v>
      </c>
      <c r="H144" s="342">
        <v>2709469</v>
      </c>
      <c r="J144" s="521" t="s">
        <v>2014</v>
      </c>
    </row>
    <row r="145" spans="1:10" s="336" customFormat="1" x14ac:dyDescent="0.25">
      <c r="A145" s="530">
        <v>42752</v>
      </c>
      <c r="B145" s="335" t="s">
        <v>127</v>
      </c>
      <c r="C145" s="335" t="s">
        <v>151</v>
      </c>
      <c r="D145" s="529">
        <v>376268723990</v>
      </c>
      <c r="E145" s="545">
        <v>350843</v>
      </c>
      <c r="F145" s="342"/>
      <c r="G145" s="520">
        <f>20.72+45.38</f>
        <v>66.099999999999994</v>
      </c>
      <c r="H145" s="342">
        <v>2713463</v>
      </c>
      <c r="J145" s="521" t="s">
        <v>2014</v>
      </c>
    </row>
    <row r="146" spans="1:10" s="336" customFormat="1" x14ac:dyDescent="0.25">
      <c r="A146" s="530">
        <v>42752</v>
      </c>
      <c r="B146" s="335" t="s">
        <v>127</v>
      </c>
      <c r="C146" s="335" t="s">
        <v>151</v>
      </c>
      <c r="D146" s="529">
        <v>376268723990</v>
      </c>
      <c r="E146" s="545">
        <v>350843</v>
      </c>
      <c r="F146" s="342"/>
      <c r="G146" s="520">
        <f>29.85+96.83</f>
        <v>126.68</v>
      </c>
      <c r="H146" s="342">
        <v>2713952</v>
      </c>
      <c r="J146" s="521" t="s">
        <v>2014</v>
      </c>
    </row>
    <row r="147" spans="1:10" s="336" customFormat="1" x14ac:dyDescent="0.25">
      <c r="A147" s="530">
        <v>42752</v>
      </c>
      <c r="B147" s="335" t="s">
        <v>127</v>
      </c>
      <c r="C147" s="335" t="s">
        <v>151</v>
      </c>
      <c r="D147" s="529">
        <v>376268723990</v>
      </c>
      <c r="E147" s="545">
        <v>350843</v>
      </c>
      <c r="F147" s="342"/>
      <c r="G147" s="520">
        <f>38.37+79.96</f>
        <v>118.32999999999998</v>
      </c>
      <c r="H147" s="342">
        <v>2716010</v>
      </c>
      <c r="J147" s="521" t="s">
        <v>2014</v>
      </c>
    </row>
    <row r="148" spans="1:10" s="336" customFormat="1" x14ac:dyDescent="0.25">
      <c r="A148" s="530">
        <v>42753</v>
      </c>
      <c r="B148" s="335" t="s">
        <v>127</v>
      </c>
      <c r="C148" s="335" t="s">
        <v>151</v>
      </c>
      <c r="D148" s="529">
        <v>376268723990</v>
      </c>
      <c r="E148" s="545">
        <v>350843</v>
      </c>
      <c r="F148" s="342"/>
      <c r="G148" s="520">
        <f>18.16+43.17</f>
        <v>61.33</v>
      </c>
      <c r="H148" s="342">
        <v>2714170</v>
      </c>
      <c r="J148" s="521" t="s">
        <v>2014</v>
      </c>
    </row>
    <row r="149" spans="1:10" s="336" customFormat="1" x14ac:dyDescent="0.25">
      <c r="A149" s="530">
        <v>42753</v>
      </c>
      <c r="B149" s="335" t="s">
        <v>127</v>
      </c>
      <c r="C149" s="335" t="s">
        <v>151</v>
      </c>
      <c r="D149" s="529">
        <v>376268723990</v>
      </c>
      <c r="E149" s="545">
        <v>350843</v>
      </c>
      <c r="F149" s="342"/>
      <c r="G149" s="520">
        <f>29.47+90.05</f>
        <v>119.52</v>
      </c>
      <c r="H149" s="342">
        <v>2714519</v>
      </c>
      <c r="J149" s="521" t="s">
        <v>2014</v>
      </c>
    </row>
    <row r="150" spans="1:10" s="336" customFormat="1" x14ac:dyDescent="0.25">
      <c r="A150" s="530">
        <v>42753</v>
      </c>
      <c r="B150" s="335" t="s">
        <v>127</v>
      </c>
      <c r="C150" s="335" t="s">
        <v>151</v>
      </c>
      <c r="D150" s="529">
        <v>376268723990</v>
      </c>
      <c r="E150" s="545">
        <v>350843</v>
      </c>
      <c r="F150" s="342"/>
      <c r="G150" s="520">
        <f>15.51+49.99</f>
        <v>65.5</v>
      </c>
      <c r="H150" s="342">
        <v>2713483</v>
      </c>
      <c r="J150" s="521" t="s">
        <v>2014</v>
      </c>
    </row>
    <row r="151" spans="1:10" s="336" customFormat="1" x14ac:dyDescent="0.25">
      <c r="A151" s="530">
        <v>42753</v>
      </c>
      <c r="B151" s="335" t="s">
        <v>127</v>
      </c>
      <c r="C151" s="335" t="s">
        <v>151</v>
      </c>
      <c r="D151" s="529">
        <v>376268723990</v>
      </c>
      <c r="E151" s="545">
        <v>350843</v>
      </c>
      <c r="F151" s="342"/>
      <c r="G151" s="520">
        <v>-10</v>
      </c>
      <c r="H151" s="342">
        <v>2714519</v>
      </c>
      <c r="J151" s="521" t="s">
        <v>2014</v>
      </c>
    </row>
    <row r="152" spans="1:10" s="336" customFormat="1" x14ac:dyDescent="0.25">
      <c r="A152" s="530">
        <v>42754</v>
      </c>
      <c r="B152" s="335" t="s">
        <v>127</v>
      </c>
      <c r="C152" s="335" t="s">
        <v>151</v>
      </c>
      <c r="D152" s="529">
        <v>376268723990</v>
      </c>
      <c r="E152" s="545">
        <v>350843</v>
      </c>
      <c r="F152" s="342"/>
      <c r="G152" s="520">
        <f>41.64+61.67</f>
        <v>103.31</v>
      </c>
      <c r="H152" s="342">
        <v>2711124</v>
      </c>
      <c r="J152" s="521" t="s">
        <v>2014</v>
      </c>
    </row>
    <row r="153" spans="1:10" s="336" customFormat="1" x14ac:dyDescent="0.25">
      <c r="A153" s="530">
        <v>42754</v>
      </c>
      <c r="B153" s="335" t="s">
        <v>127</v>
      </c>
      <c r="C153" s="335" t="s">
        <v>151</v>
      </c>
      <c r="D153" s="529">
        <v>376268723990</v>
      </c>
      <c r="E153" s="545">
        <v>350843</v>
      </c>
      <c r="F153" s="342"/>
      <c r="G153" s="520">
        <f>26.62+56.83</f>
        <v>83.45</v>
      </c>
      <c r="H153" s="342">
        <v>2722314</v>
      </c>
      <c r="J153" s="521" t="s">
        <v>2014</v>
      </c>
    </row>
    <row r="154" spans="1:10" s="336" customFormat="1" x14ac:dyDescent="0.25">
      <c r="A154" s="530">
        <v>42755</v>
      </c>
      <c r="B154" s="335" t="s">
        <v>127</v>
      </c>
      <c r="C154" s="335" t="s">
        <v>151</v>
      </c>
      <c r="D154" s="529">
        <v>376268723990</v>
      </c>
      <c r="E154" s="545">
        <v>350843</v>
      </c>
      <c r="F154" s="342"/>
      <c r="G154" s="520">
        <f>43.24+86.07</f>
        <v>129.31</v>
      </c>
      <c r="H154" s="342">
        <v>2726076</v>
      </c>
      <c r="J154" s="521" t="s">
        <v>2014</v>
      </c>
    </row>
    <row r="155" spans="1:10" s="336" customFormat="1" x14ac:dyDescent="0.25">
      <c r="A155" s="530">
        <v>42755</v>
      </c>
      <c r="B155" s="335" t="s">
        <v>127</v>
      </c>
      <c r="C155" s="335" t="s">
        <v>151</v>
      </c>
      <c r="D155" s="529">
        <v>376268723990</v>
      </c>
      <c r="E155" s="545">
        <v>350843</v>
      </c>
      <c r="F155" s="342"/>
      <c r="G155" s="520">
        <f>3.58+38.65</f>
        <v>42.23</v>
      </c>
      <c r="H155" s="342">
        <v>2727319</v>
      </c>
      <c r="J155" s="521" t="s">
        <v>2014</v>
      </c>
    </row>
    <row r="156" spans="1:10" s="336" customFormat="1" x14ac:dyDescent="0.25">
      <c r="A156" s="530">
        <v>42755</v>
      </c>
      <c r="B156" s="335" t="s">
        <v>127</v>
      </c>
      <c r="C156" s="335" t="s">
        <v>151</v>
      </c>
      <c r="D156" s="529">
        <v>376258029994</v>
      </c>
      <c r="E156" s="342">
        <v>219739</v>
      </c>
      <c r="F156" s="342"/>
      <c r="G156" s="520">
        <f>111.84+209.55</f>
        <v>321.39</v>
      </c>
      <c r="H156" s="342">
        <v>2723459</v>
      </c>
      <c r="J156" s="519" t="s">
        <v>2000</v>
      </c>
    </row>
    <row r="157" spans="1:10" s="336" customFormat="1" x14ac:dyDescent="0.25">
      <c r="A157" s="530">
        <v>42752</v>
      </c>
      <c r="B157" s="335" t="s">
        <v>127</v>
      </c>
      <c r="C157" s="335" t="s">
        <v>151</v>
      </c>
      <c r="D157" s="529">
        <v>376268786997</v>
      </c>
      <c r="E157" s="342">
        <v>350875</v>
      </c>
      <c r="F157" s="342"/>
      <c r="G157" s="520">
        <f>7.33+31.84</f>
        <v>39.17</v>
      </c>
      <c r="H157" s="342">
        <v>2710005</v>
      </c>
      <c r="J157" s="521" t="s">
        <v>2010</v>
      </c>
    </row>
    <row r="158" spans="1:10" s="336" customFormat="1" x14ac:dyDescent="0.25">
      <c r="A158" s="530">
        <v>42755</v>
      </c>
      <c r="B158" s="335" t="s">
        <v>127</v>
      </c>
      <c r="C158" s="335" t="s">
        <v>151</v>
      </c>
      <c r="D158" s="529">
        <v>376268786997</v>
      </c>
      <c r="E158" s="342">
        <v>350875</v>
      </c>
      <c r="F158" s="342"/>
      <c r="G158" s="520">
        <f>17.23+39.96</f>
        <v>57.19</v>
      </c>
      <c r="H158" s="342">
        <v>2726531</v>
      </c>
      <c r="J158" s="521" t="s">
        <v>2010</v>
      </c>
    </row>
    <row r="159" spans="1:10" s="336" customFormat="1" x14ac:dyDescent="0.25">
      <c r="A159" s="530">
        <v>42754</v>
      </c>
      <c r="B159" s="335" t="s">
        <v>127</v>
      </c>
      <c r="C159" s="335" t="s">
        <v>151</v>
      </c>
      <c r="D159" s="529">
        <v>376266494990</v>
      </c>
      <c r="E159" s="342">
        <v>350484</v>
      </c>
      <c r="F159" s="342"/>
      <c r="G159" s="520">
        <f>13.19+48</f>
        <v>61.19</v>
      </c>
      <c r="H159" s="342">
        <v>2721769</v>
      </c>
      <c r="J159" s="521" t="s">
        <v>2003</v>
      </c>
    </row>
    <row r="160" spans="1:10" s="336" customFormat="1" x14ac:dyDescent="0.25">
      <c r="A160" s="530">
        <v>42754</v>
      </c>
      <c r="B160" s="335" t="s">
        <v>127</v>
      </c>
      <c r="C160" s="335" t="s">
        <v>151</v>
      </c>
      <c r="D160" s="529">
        <v>376271092995</v>
      </c>
      <c r="E160" s="342">
        <v>351307</v>
      </c>
      <c r="F160" s="342"/>
      <c r="G160" s="520">
        <v>-45.95</v>
      </c>
      <c r="H160" s="342">
        <v>2684836</v>
      </c>
      <c r="J160" s="521" t="s">
        <v>2020</v>
      </c>
    </row>
    <row r="161" spans="1:10" s="336" customFormat="1" x14ac:dyDescent="0.25">
      <c r="A161" s="530">
        <v>42755</v>
      </c>
      <c r="B161" s="335" t="s">
        <v>127</v>
      </c>
      <c r="C161" s="335" t="s">
        <v>151</v>
      </c>
      <c r="D161" s="529">
        <v>376271092995</v>
      </c>
      <c r="E161" s="342">
        <v>351307</v>
      </c>
      <c r="F161" s="342"/>
      <c r="G161" s="520">
        <f>1.91+27.04</f>
        <v>28.95</v>
      </c>
      <c r="H161" s="342">
        <v>2728068</v>
      </c>
      <c r="J161" s="521" t="s">
        <v>2020</v>
      </c>
    </row>
    <row r="162" spans="1:10" s="336" customFormat="1" x14ac:dyDescent="0.25">
      <c r="A162" s="530">
        <v>42755</v>
      </c>
      <c r="B162" s="335" t="s">
        <v>127</v>
      </c>
      <c r="C162" s="335" t="s">
        <v>151</v>
      </c>
      <c r="D162" s="529">
        <v>376271092995</v>
      </c>
      <c r="E162" s="342">
        <v>351307</v>
      </c>
      <c r="F162" s="342"/>
      <c r="G162" s="520">
        <f>32.03+62.82</f>
        <v>94.85</v>
      </c>
      <c r="H162" s="342">
        <v>2727762</v>
      </c>
      <c r="J162" s="521" t="s">
        <v>2020</v>
      </c>
    </row>
    <row r="163" spans="1:10" s="336" customFormat="1" x14ac:dyDescent="0.25">
      <c r="A163" s="530">
        <v>42754</v>
      </c>
      <c r="B163" s="335" t="s">
        <v>127</v>
      </c>
      <c r="C163" s="335" t="s">
        <v>151</v>
      </c>
      <c r="D163" s="529">
        <v>376268127994</v>
      </c>
      <c r="E163" s="342">
        <v>350776</v>
      </c>
      <c r="F163" s="342"/>
      <c r="G163" s="520">
        <f>14.65+49.95</f>
        <v>64.600000000000009</v>
      </c>
      <c r="H163" s="342">
        <v>2722668</v>
      </c>
      <c r="J163" s="518" t="s">
        <v>2007</v>
      </c>
    </row>
    <row r="164" spans="1:10" s="336" customFormat="1" x14ac:dyDescent="0.25">
      <c r="A164" s="547" t="s">
        <v>1967</v>
      </c>
      <c r="B164" s="335" t="s">
        <v>0</v>
      </c>
      <c r="C164" s="335" t="s">
        <v>238</v>
      </c>
      <c r="D164" s="517" t="s">
        <v>1968</v>
      </c>
      <c r="E164" s="545">
        <v>352171</v>
      </c>
      <c r="F164" s="342">
        <v>746659</v>
      </c>
      <c r="G164" s="520">
        <v>59.77</v>
      </c>
      <c r="J164" s="545" t="s">
        <v>2192</v>
      </c>
    </row>
    <row r="165" spans="1:10" s="336" customFormat="1" x14ac:dyDescent="0.25">
      <c r="A165" s="547" t="s">
        <v>1967</v>
      </c>
      <c r="B165" s="335" t="s">
        <v>0</v>
      </c>
      <c r="C165" s="335" t="s">
        <v>238</v>
      </c>
      <c r="D165" s="517" t="s">
        <v>1780</v>
      </c>
      <c r="E165" s="545">
        <v>350368</v>
      </c>
      <c r="F165" s="342">
        <v>746630</v>
      </c>
      <c r="G165" s="520">
        <v>39.17</v>
      </c>
      <c r="J165" s="545" t="s">
        <v>2192</v>
      </c>
    </row>
    <row r="166" spans="1:10" s="336" customFormat="1" x14ac:dyDescent="0.25">
      <c r="A166" s="547" t="s">
        <v>1967</v>
      </c>
      <c r="B166" s="335" t="s">
        <v>0</v>
      </c>
      <c r="C166" s="335" t="s">
        <v>238</v>
      </c>
      <c r="D166" s="517" t="s">
        <v>75</v>
      </c>
      <c r="E166" s="545">
        <v>350332</v>
      </c>
      <c r="F166" s="342">
        <v>744812</v>
      </c>
      <c r="G166" s="520">
        <v>39.53</v>
      </c>
      <c r="J166" s="545" t="s">
        <v>2192</v>
      </c>
    </row>
    <row r="167" spans="1:10" s="336" customFormat="1" x14ac:dyDescent="0.25">
      <c r="A167" s="547" t="s">
        <v>1967</v>
      </c>
      <c r="B167" s="335" t="s">
        <v>0</v>
      </c>
      <c r="C167" s="335" t="s">
        <v>238</v>
      </c>
      <c r="D167" s="517" t="s">
        <v>1969</v>
      </c>
      <c r="E167" s="545">
        <v>201229</v>
      </c>
      <c r="F167" s="342">
        <v>741261</v>
      </c>
      <c r="G167" s="520">
        <v>46.11</v>
      </c>
      <c r="J167" s="545" t="s">
        <v>2192</v>
      </c>
    </row>
    <row r="168" spans="1:10" s="336" customFormat="1" x14ac:dyDescent="0.25">
      <c r="A168" s="547" t="s">
        <v>1967</v>
      </c>
      <c r="B168" s="335" t="s">
        <v>0</v>
      </c>
      <c r="C168" s="335" t="s">
        <v>238</v>
      </c>
      <c r="D168" s="517" t="s">
        <v>1970</v>
      </c>
      <c r="E168" s="545">
        <v>357312</v>
      </c>
      <c r="F168" s="342">
        <v>747067</v>
      </c>
      <c r="G168" s="520">
        <v>49.85</v>
      </c>
      <c r="J168" s="545" t="s">
        <v>2192</v>
      </c>
    </row>
    <row r="169" spans="1:10" s="336" customFormat="1" x14ac:dyDescent="0.25">
      <c r="A169" s="547" t="s">
        <v>1967</v>
      </c>
      <c r="B169" s="335" t="s">
        <v>0</v>
      </c>
      <c r="C169" s="335" t="s">
        <v>238</v>
      </c>
      <c r="D169" s="516">
        <v>376272210992</v>
      </c>
      <c r="E169" s="545">
        <v>351845</v>
      </c>
      <c r="F169" s="342">
        <v>729307</v>
      </c>
      <c r="G169" s="520">
        <v>54.95</v>
      </c>
      <c r="J169" s="545" t="s">
        <v>2192</v>
      </c>
    </row>
    <row r="170" spans="1:10" s="336" customFormat="1" x14ac:dyDescent="0.25">
      <c r="A170" s="547" t="s">
        <v>1967</v>
      </c>
      <c r="B170" s="335" t="s">
        <v>0</v>
      </c>
      <c r="C170" s="335" t="s">
        <v>238</v>
      </c>
      <c r="D170" s="517" t="s">
        <v>1971</v>
      </c>
      <c r="E170" s="545">
        <v>352954</v>
      </c>
      <c r="F170" s="342"/>
      <c r="G170" s="520">
        <v>58.23</v>
      </c>
      <c r="J170" s="545" t="s">
        <v>2192</v>
      </c>
    </row>
    <row r="171" spans="1:10" s="336" customFormat="1" x14ac:dyDescent="0.25">
      <c r="A171" s="547" t="s">
        <v>1967</v>
      </c>
      <c r="B171" s="335" t="s">
        <v>0</v>
      </c>
      <c r="C171" s="335" t="s">
        <v>238</v>
      </c>
      <c r="D171" s="517" t="s">
        <v>1972</v>
      </c>
      <c r="E171" s="545">
        <v>351248</v>
      </c>
      <c r="F171" s="342">
        <v>746938</v>
      </c>
      <c r="G171" s="520">
        <v>65.75</v>
      </c>
      <c r="J171" s="545" t="s">
        <v>2192</v>
      </c>
    </row>
    <row r="172" spans="1:10" s="336" customFormat="1" x14ac:dyDescent="0.25">
      <c r="A172" s="547" t="s">
        <v>1967</v>
      </c>
      <c r="B172" s="335" t="s">
        <v>0</v>
      </c>
      <c r="C172" s="335" t="s">
        <v>238</v>
      </c>
      <c r="D172" s="517" t="s">
        <v>1973</v>
      </c>
      <c r="E172" s="545">
        <v>220460</v>
      </c>
      <c r="F172" s="342">
        <v>738897</v>
      </c>
      <c r="G172" s="520">
        <v>65.900000000000006</v>
      </c>
      <c r="J172" s="545" t="s">
        <v>2192</v>
      </c>
    </row>
    <row r="173" spans="1:10" s="336" customFormat="1" x14ac:dyDescent="0.25">
      <c r="A173" s="547" t="s">
        <v>1967</v>
      </c>
      <c r="B173" s="335" t="s">
        <v>0</v>
      </c>
      <c r="C173" s="335" t="s">
        <v>238</v>
      </c>
      <c r="D173" s="517" t="s">
        <v>1428</v>
      </c>
      <c r="E173" s="545">
        <v>212534</v>
      </c>
      <c r="F173" s="545">
        <v>746732</v>
      </c>
      <c r="G173" s="520">
        <v>65.95</v>
      </c>
      <c r="J173" s="545" t="s">
        <v>2192</v>
      </c>
    </row>
    <row r="174" spans="1:10" s="336" customFormat="1" x14ac:dyDescent="0.25">
      <c r="A174" s="547" t="s">
        <v>1967</v>
      </c>
      <c r="B174" s="335" t="s">
        <v>0</v>
      </c>
      <c r="C174" s="335" t="s">
        <v>238</v>
      </c>
      <c r="D174" s="517" t="s">
        <v>1974</v>
      </c>
      <c r="E174" s="545">
        <v>350290</v>
      </c>
      <c r="F174" s="545">
        <v>747023</v>
      </c>
      <c r="G174" s="520">
        <v>67.95</v>
      </c>
      <c r="J174" s="545" t="s">
        <v>2192</v>
      </c>
    </row>
    <row r="175" spans="1:10" s="336" customFormat="1" x14ac:dyDescent="0.25">
      <c r="A175" s="547" t="s">
        <v>1967</v>
      </c>
      <c r="B175" s="335" t="s">
        <v>0</v>
      </c>
      <c r="C175" s="335" t="s">
        <v>238</v>
      </c>
      <c r="D175" s="517" t="s">
        <v>1975</v>
      </c>
      <c r="E175" s="545">
        <v>351293</v>
      </c>
      <c r="F175" s="545">
        <v>747031</v>
      </c>
      <c r="G175" s="520">
        <v>67.95</v>
      </c>
      <c r="J175" s="545" t="s">
        <v>2192</v>
      </c>
    </row>
    <row r="176" spans="1:10" s="336" customFormat="1" x14ac:dyDescent="0.25">
      <c r="A176" s="547" t="s">
        <v>1967</v>
      </c>
      <c r="B176" s="335" t="s">
        <v>0</v>
      </c>
      <c r="C176" s="335" t="s">
        <v>238</v>
      </c>
      <c r="D176" s="517" t="s">
        <v>1976</v>
      </c>
      <c r="E176" s="545">
        <v>81855</v>
      </c>
      <c r="F176" s="545">
        <v>718641</v>
      </c>
      <c r="G176" s="520">
        <v>68.78</v>
      </c>
      <c r="J176" s="545" t="s">
        <v>2192</v>
      </c>
    </row>
    <row r="177" spans="1:10" s="336" customFormat="1" x14ac:dyDescent="0.25">
      <c r="A177" s="547" t="s">
        <v>1967</v>
      </c>
      <c r="B177" s="335" t="s">
        <v>0</v>
      </c>
      <c r="C177" s="335" t="s">
        <v>238</v>
      </c>
      <c r="D177" s="517" t="s">
        <v>1977</v>
      </c>
      <c r="E177" s="545">
        <v>352853</v>
      </c>
      <c r="F177" s="545"/>
      <c r="G177" s="520">
        <v>72.14</v>
      </c>
      <c r="J177" s="545" t="s">
        <v>2192</v>
      </c>
    </row>
    <row r="178" spans="1:10" s="336" customFormat="1" x14ac:dyDescent="0.25">
      <c r="A178" s="547" t="s">
        <v>1967</v>
      </c>
      <c r="B178" s="335" t="s">
        <v>0</v>
      </c>
      <c r="C178" s="335" t="s">
        <v>238</v>
      </c>
      <c r="D178" s="517" t="s">
        <v>1978</v>
      </c>
      <c r="E178" s="545">
        <v>350577</v>
      </c>
      <c r="F178" s="545">
        <v>748546</v>
      </c>
      <c r="G178" s="520">
        <v>72.709999999999994</v>
      </c>
      <c r="J178" s="545" t="s">
        <v>2192</v>
      </c>
    </row>
    <row r="179" spans="1:10" s="336" customFormat="1" x14ac:dyDescent="0.25">
      <c r="A179" s="547" t="s">
        <v>1967</v>
      </c>
      <c r="B179" s="335" t="s">
        <v>0</v>
      </c>
      <c r="C179" s="335" t="s">
        <v>238</v>
      </c>
      <c r="D179" s="517" t="s">
        <v>1979</v>
      </c>
      <c r="E179" s="545">
        <v>352741</v>
      </c>
      <c r="F179" s="545">
        <v>738063</v>
      </c>
      <c r="G179" s="520">
        <v>76.45</v>
      </c>
      <c r="J179" s="545" t="s">
        <v>2192</v>
      </c>
    </row>
    <row r="180" spans="1:10" s="336" customFormat="1" x14ac:dyDescent="0.25">
      <c r="A180" s="547" t="s">
        <v>1967</v>
      </c>
      <c r="B180" s="335" t="s">
        <v>0</v>
      </c>
      <c r="C180" s="335" t="s">
        <v>238</v>
      </c>
      <c r="D180" s="517" t="s">
        <v>1980</v>
      </c>
      <c r="E180" s="545">
        <v>352781</v>
      </c>
      <c r="F180" s="545">
        <v>745314</v>
      </c>
      <c r="G180" s="520">
        <v>80.95</v>
      </c>
      <c r="J180" s="545" t="s">
        <v>2192</v>
      </c>
    </row>
    <row r="181" spans="1:10" s="336" customFormat="1" x14ac:dyDescent="0.25">
      <c r="A181" s="547" t="s">
        <v>1967</v>
      </c>
      <c r="B181" s="335" t="s">
        <v>0</v>
      </c>
      <c r="C181" s="335" t="s">
        <v>238</v>
      </c>
      <c r="D181" s="517" t="s">
        <v>1982</v>
      </c>
      <c r="E181" s="545">
        <v>352139</v>
      </c>
      <c r="F181" s="545">
        <v>747022</v>
      </c>
      <c r="G181" s="520">
        <v>83.61</v>
      </c>
      <c r="J181" s="545" t="s">
        <v>2192</v>
      </c>
    </row>
    <row r="182" spans="1:10" s="336" customFormat="1" x14ac:dyDescent="0.25">
      <c r="A182" s="547" t="s">
        <v>1967</v>
      </c>
      <c r="B182" s="335" t="s">
        <v>0</v>
      </c>
      <c r="C182" s="335" t="s">
        <v>238</v>
      </c>
      <c r="D182" s="517" t="s">
        <v>1981</v>
      </c>
      <c r="E182" s="545">
        <v>352541</v>
      </c>
      <c r="F182" s="545">
        <v>749527</v>
      </c>
      <c r="G182" s="520">
        <v>84.9</v>
      </c>
      <c r="J182" s="545" t="s">
        <v>2192</v>
      </c>
    </row>
    <row r="183" spans="1:10" s="336" customFormat="1" x14ac:dyDescent="0.25">
      <c r="A183" s="547" t="s">
        <v>1967</v>
      </c>
      <c r="B183" s="335" t="s">
        <v>0</v>
      </c>
      <c r="C183" s="335" t="s">
        <v>238</v>
      </c>
      <c r="D183" s="517" t="s">
        <v>1983</v>
      </c>
      <c r="E183" s="545">
        <v>352036</v>
      </c>
      <c r="F183" s="545">
        <v>745122</v>
      </c>
      <c r="G183" s="520">
        <v>88.64</v>
      </c>
      <c r="J183" s="545" t="s">
        <v>2192</v>
      </c>
    </row>
    <row r="184" spans="1:10" s="336" customFormat="1" x14ac:dyDescent="0.25">
      <c r="A184" s="547" t="s">
        <v>1967</v>
      </c>
      <c r="B184" s="335" t="s">
        <v>0</v>
      </c>
      <c r="C184" s="335" t="s">
        <v>238</v>
      </c>
      <c r="D184" s="517" t="s">
        <v>1984</v>
      </c>
      <c r="E184" s="545">
        <v>352859</v>
      </c>
      <c r="F184" s="545">
        <v>747021</v>
      </c>
      <c r="G184" s="520">
        <v>89.15</v>
      </c>
      <c r="J184" s="545" t="s">
        <v>2192</v>
      </c>
    </row>
    <row r="185" spans="1:10" s="336" customFormat="1" x14ac:dyDescent="0.25">
      <c r="A185" s="547" t="s">
        <v>1967</v>
      </c>
      <c r="B185" s="335" t="s">
        <v>0</v>
      </c>
      <c r="C185" s="335" t="s">
        <v>238</v>
      </c>
      <c r="D185" s="517" t="s">
        <v>1985</v>
      </c>
      <c r="E185" s="545">
        <v>351688</v>
      </c>
      <c r="F185" s="342">
        <v>747024</v>
      </c>
      <c r="G185" s="520">
        <v>89.6</v>
      </c>
      <c r="J185" s="545" t="s">
        <v>2192</v>
      </c>
    </row>
    <row r="186" spans="1:10" s="336" customFormat="1" x14ac:dyDescent="0.25">
      <c r="A186" s="547" t="s">
        <v>1967</v>
      </c>
      <c r="B186" s="335" t="s">
        <v>0</v>
      </c>
      <c r="C186" s="335" t="s">
        <v>238</v>
      </c>
      <c r="D186" s="517" t="s">
        <v>1266</v>
      </c>
      <c r="E186" s="545">
        <v>350923</v>
      </c>
      <c r="F186" s="342">
        <v>747276</v>
      </c>
      <c r="G186" s="520">
        <v>50.36</v>
      </c>
      <c r="J186" s="545" t="s">
        <v>2192</v>
      </c>
    </row>
    <row r="187" spans="1:10" s="336" customFormat="1" x14ac:dyDescent="0.25">
      <c r="A187" s="547" t="s">
        <v>1967</v>
      </c>
      <c r="B187" s="335" t="s">
        <v>0</v>
      </c>
      <c r="C187" s="335" t="s">
        <v>238</v>
      </c>
      <c r="D187" s="516">
        <v>376269195990</v>
      </c>
      <c r="E187" s="545">
        <v>350923</v>
      </c>
      <c r="F187" s="342">
        <v>747525</v>
      </c>
      <c r="G187" s="520">
        <v>51.46</v>
      </c>
      <c r="J187" s="545" t="s">
        <v>2192</v>
      </c>
    </row>
    <row r="188" spans="1:10" s="336" customFormat="1" x14ac:dyDescent="0.25">
      <c r="A188" s="547" t="s">
        <v>1967</v>
      </c>
      <c r="B188" s="335" t="s">
        <v>0</v>
      </c>
      <c r="C188" s="335" t="s">
        <v>238</v>
      </c>
      <c r="D188" s="517" t="s">
        <v>1986</v>
      </c>
      <c r="E188" s="545">
        <v>352801</v>
      </c>
      <c r="F188" s="342">
        <v>735620</v>
      </c>
      <c r="G188" s="520">
        <v>101.85</v>
      </c>
      <c r="J188" s="545" t="s">
        <v>2192</v>
      </c>
    </row>
    <row r="189" spans="1:10" s="336" customFormat="1" x14ac:dyDescent="0.25">
      <c r="A189" s="547" t="s">
        <v>1967</v>
      </c>
      <c r="B189" s="335" t="s">
        <v>0</v>
      </c>
      <c r="C189" s="335" t="s">
        <v>238</v>
      </c>
      <c r="D189" s="516">
        <v>376273336994</v>
      </c>
      <c r="E189" s="545">
        <v>352216</v>
      </c>
      <c r="F189" s="342">
        <v>740312</v>
      </c>
      <c r="G189" s="520">
        <v>103.45</v>
      </c>
      <c r="J189" s="545" t="s">
        <v>2192</v>
      </c>
    </row>
    <row r="190" spans="1:10" s="336" customFormat="1" x14ac:dyDescent="0.25">
      <c r="A190" s="547" t="s">
        <v>1967</v>
      </c>
      <c r="B190" s="335" t="s">
        <v>0</v>
      </c>
      <c r="C190" s="335" t="s">
        <v>238</v>
      </c>
      <c r="D190" s="517" t="s">
        <v>1502</v>
      </c>
      <c r="E190" s="545">
        <v>350434</v>
      </c>
      <c r="F190" s="342">
        <v>742214</v>
      </c>
      <c r="G190" s="520">
        <v>122.45</v>
      </c>
      <c r="J190" s="545" t="s">
        <v>2192</v>
      </c>
    </row>
    <row r="191" spans="1:10" s="336" customFormat="1" x14ac:dyDescent="0.25">
      <c r="A191" s="547" t="s">
        <v>1967</v>
      </c>
      <c r="B191" s="335" t="s">
        <v>0</v>
      </c>
      <c r="C191" s="335" t="s">
        <v>238</v>
      </c>
      <c r="D191" s="517" t="s">
        <v>1987</v>
      </c>
      <c r="E191" s="545">
        <v>350120</v>
      </c>
      <c r="F191" s="342">
        <v>747025</v>
      </c>
      <c r="G191" s="520">
        <v>145.9</v>
      </c>
      <c r="J191" s="545" t="s">
        <v>2192</v>
      </c>
    </row>
    <row r="192" spans="1:10" s="336" customFormat="1" x14ac:dyDescent="0.25">
      <c r="A192" s="547" t="s">
        <v>1967</v>
      </c>
      <c r="B192" s="335" t="s">
        <v>0</v>
      </c>
      <c r="C192" s="335" t="s">
        <v>238</v>
      </c>
      <c r="D192" s="517" t="s">
        <v>1988</v>
      </c>
      <c r="E192" s="545">
        <v>226737</v>
      </c>
      <c r="F192" s="342">
        <v>747027</v>
      </c>
      <c r="G192" s="520">
        <v>77.95</v>
      </c>
      <c r="J192" s="545" t="s">
        <v>2192</v>
      </c>
    </row>
    <row r="193" spans="1:11" s="336" customFormat="1" x14ac:dyDescent="0.25">
      <c r="A193" s="547" t="s">
        <v>1967</v>
      </c>
      <c r="B193" s="335" t="s">
        <v>0</v>
      </c>
      <c r="C193" s="335" t="s">
        <v>238</v>
      </c>
      <c r="D193" s="517" t="s">
        <v>1988</v>
      </c>
      <c r="E193" s="342">
        <v>226737</v>
      </c>
      <c r="F193" s="342">
        <v>744534</v>
      </c>
      <c r="G193" s="520">
        <v>117.05</v>
      </c>
      <c r="J193" s="545" t="s">
        <v>2192</v>
      </c>
    </row>
    <row r="194" spans="1:11" s="336" customFormat="1" x14ac:dyDescent="0.25">
      <c r="A194" s="547" t="s">
        <v>1967</v>
      </c>
      <c r="B194" s="335" t="s">
        <v>0</v>
      </c>
      <c r="C194" s="335" t="s">
        <v>238</v>
      </c>
      <c r="D194" s="517" t="s">
        <v>1989</v>
      </c>
      <c r="E194" s="342">
        <v>353346</v>
      </c>
      <c r="F194" s="342"/>
      <c r="G194" s="520">
        <v>92.93</v>
      </c>
      <c r="J194" s="335" t="s">
        <v>2281</v>
      </c>
      <c r="K194" s="545"/>
    </row>
    <row r="195" spans="1:11" s="336" customFormat="1" x14ac:dyDescent="0.25">
      <c r="A195" s="547" t="s">
        <v>1967</v>
      </c>
      <c r="B195" s="335" t="s">
        <v>0</v>
      </c>
      <c r="C195" s="335" t="s">
        <v>238</v>
      </c>
      <c r="D195" s="517" t="s">
        <v>1930</v>
      </c>
      <c r="E195" s="342">
        <v>353065</v>
      </c>
      <c r="F195" s="342"/>
      <c r="G195" s="520">
        <v>-101.95</v>
      </c>
      <c r="J195" s="335" t="s">
        <v>1992</v>
      </c>
      <c r="K195" s="545"/>
    </row>
    <row r="196" spans="1:11" s="336" customFormat="1" x14ac:dyDescent="0.25">
      <c r="A196" s="547" t="s">
        <v>1967</v>
      </c>
      <c r="B196" s="335" t="s">
        <v>0</v>
      </c>
      <c r="C196" s="335" t="s">
        <v>238</v>
      </c>
      <c r="D196" s="517" t="s">
        <v>1990</v>
      </c>
      <c r="E196" s="342">
        <v>352453</v>
      </c>
      <c r="F196" s="342">
        <v>743541</v>
      </c>
      <c r="G196" s="520">
        <v>59.45</v>
      </c>
      <c r="J196" s="335" t="s">
        <v>2282</v>
      </c>
    </row>
    <row r="197" spans="1:11" s="562" customFormat="1" x14ac:dyDescent="0.25">
      <c r="A197" s="535">
        <v>42757</v>
      </c>
      <c r="B197" s="322" t="s">
        <v>127</v>
      </c>
      <c r="C197" s="322"/>
      <c r="D197" s="392">
        <v>376270713997</v>
      </c>
      <c r="E197" s="550">
        <v>351215</v>
      </c>
      <c r="G197" s="515">
        <v>88</v>
      </c>
      <c r="H197" s="550">
        <v>2731373</v>
      </c>
      <c r="J197" s="550" t="s">
        <v>273</v>
      </c>
    </row>
    <row r="198" spans="1:11" s="562" customFormat="1" x14ac:dyDescent="0.25">
      <c r="A198" s="535">
        <v>42757</v>
      </c>
      <c r="B198" s="322" t="s">
        <v>127</v>
      </c>
      <c r="C198" s="322"/>
      <c r="D198" s="392">
        <v>376270713997</v>
      </c>
      <c r="E198" s="550">
        <v>351215</v>
      </c>
      <c r="G198" s="515">
        <v>98</v>
      </c>
      <c r="H198" s="550">
        <v>2731203</v>
      </c>
      <c r="J198" s="550" t="s">
        <v>273</v>
      </c>
    </row>
    <row r="199" spans="1:11" s="562" customFormat="1" x14ac:dyDescent="0.25">
      <c r="A199" s="535">
        <v>42757</v>
      </c>
      <c r="B199" s="322" t="s">
        <v>127</v>
      </c>
      <c r="C199" s="322"/>
      <c r="D199" s="392">
        <v>376270713997</v>
      </c>
      <c r="E199" s="550">
        <v>351215</v>
      </c>
      <c r="G199" s="515">
        <v>123.77</v>
      </c>
      <c r="H199" s="550">
        <v>2730448</v>
      </c>
      <c r="J199" s="550" t="s">
        <v>273</v>
      </c>
    </row>
    <row r="200" spans="1:11" s="562" customFormat="1" x14ac:dyDescent="0.25">
      <c r="A200" s="535">
        <v>42757</v>
      </c>
      <c r="B200" s="322" t="s">
        <v>127</v>
      </c>
      <c r="C200" s="322"/>
      <c r="D200" s="392">
        <v>376270713997</v>
      </c>
      <c r="E200" s="550">
        <v>351215</v>
      </c>
      <c r="G200" s="515">
        <v>119</v>
      </c>
      <c r="H200" s="550">
        <v>2733535</v>
      </c>
      <c r="J200" s="550" t="s">
        <v>273</v>
      </c>
    </row>
    <row r="201" spans="1:11" s="562" customFormat="1" x14ac:dyDescent="0.25">
      <c r="A201" s="535">
        <v>42757</v>
      </c>
      <c r="B201" s="322" t="s">
        <v>127</v>
      </c>
      <c r="C201" s="322"/>
      <c r="D201" s="392">
        <v>376270713997</v>
      </c>
      <c r="E201" s="550">
        <v>351215</v>
      </c>
      <c r="G201" s="515">
        <v>179.29</v>
      </c>
      <c r="H201" s="550">
        <v>2734865</v>
      </c>
      <c r="J201" s="550" t="s">
        <v>273</v>
      </c>
    </row>
    <row r="202" spans="1:11" s="562" customFormat="1" x14ac:dyDescent="0.25">
      <c r="A202" s="535">
        <v>42757</v>
      </c>
      <c r="B202" s="322" t="s">
        <v>127</v>
      </c>
      <c r="C202" s="322"/>
      <c r="D202" s="392">
        <v>376270713997</v>
      </c>
      <c r="E202" s="550">
        <v>351215</v>
      </c>
      <c r="G202" s="515">
        <v>127</v>
      </c>
      <c r="H202" s="550">
        <v>2735095</v>
      </c>
      <c r="J202" s="550" t="s">
        <v>273</v>
      </c>
    </row>
    <row r="203" spans="1:11" s="562" customFormat="1" x14ac:dyDescent="0.25">
      <c r="A203" s="535">
        <v>42757</v>
      </c>
      <c r="B203" s="322" t="s">
        <v>127</v>
      </c>
      <c r="C203" s="322"/>
      <c r="D203" s="392">
        <v>376270713997</v>
      </c>
      <c r="E203" s="550">
        <v>351215</v>
      </c>
      <c r="G203" s="515">
        <v>175</v>
      </c>
      <c r="H203" s="550">
        <v>2730555</v>
      </c>
      <c r="J203" s="550" t="s">
        <v>273</v>
      </c>
    </row>
    <row r="204" spans="1:11" s="562" customFormat="1" x14ac:dyDescent="0.25">
      <c r="A204" s="535">
        <v>42757</v>
      </c>
      <c r="B204" s="322" t="s">
        <v>127</v>
      </c>
      <c r="C204" s="322"/>
      <c r="D204" s="392">
        <v>376270713997</v>
      </c>
      <c r="E204" s="550">
        <v>351215</v>
      </c>
      <c r="G204" s="515">
        <v>263.52</v>
      </c>
      <c r="H204" s="550">
        <v>2731915</v>
      </c>
      <c r="J204" s="550" t="s">
        <v>273</v>
      </c>
    </row>
    <row r="205" spans="1:11" s="562" customFormat="1" x14ac:dyDescent="0.25">
      <c r="A205" s="535">
        <v>42757</v>
      </c>
      <c r="B205" s="322" t="s">
        <v>127</v>
      </c>
      <c r="C205" s="322"/>
      <c r="D205" s="392">
        <v>376270713997</v>
      </c>
      <c r="E205" s="550">
        <v>351215</v>
      </c>
      <c r="G205" s="515">
        <v>75.98</v>
      </c>
      <c r="H205" s="550">
        <v>2727678</v>
      </c>
      <c r="J205" s="550" t="s">
        <v>273</v>
      </c>
    </row>
    <row r="206" spans="1:11" s="562" customFormat="1" x14ac:dyDescent="0.25">
      <c r="A206" s="535">
        <v>42757</v>
      </c>
      <c r="B206" s="322" t="s">
        <v>127</v>
      </c>
      <c r="C206" s="322"/>
      <c r="D206" s="392">
        <v>376270713997</v>
      </c>
      <c r="E206" s="550">
        <v>351215</v>
      </c>
      <c r="G206" s="515">
        <v>56.7</v>
      </c>
      <c r="H206" s="550">
        <v>2739428</v>
      </c>
      <c r="J206" s="550" t="s">
        <v>273</v>
      </c>
    </row>
    <row r="207" spans="1:11" s="562" customFormat="1" x14ac:dyDescent="0.25">
      <c r="A207" s="535">
        <v>42757</v>
      </c>
      <c r="B207" s="322" t="s">
        <v>127</v>
      </c>
      <c r="C207" s="322"/>
      <c r="D207" s="392">
        <v>376270713997</v>
      </c>
      <c r="E207" s="550">
        <v>351215</v>
      </c>
      <c r="G207" s="515">
        <v>88</v>
      </c>
      <c r="H207" s="550">
        <v>2739073</v>
      </c>
      <c r="J207" s="550" t="s">
        <v>273</v>
      </c>
    </row>
    <row r="208" spans="1:11" s="562" customFormat="1" x14ac:dyDescent="0.25">
      <c r="A208" s="535">
        <v>42757</v>
      </c>
      <c r="B208" s="322" t="s">
        <v>127</v>
      </c>
      <c r="C208" s="322"/>
      <c r="D208" s="392">
        <v>376270713997</v>
      </c>
      <c r="E208" s="550">
        <v>351215</v>
      </c>
      <c r="G208" s="515">
        <v>59.15</v>
      </c>
      <c r="H208" s="550">
        <v>2740488</v>
      </c>
      <c r="J208" s="550" t="s">
        <v>273</v>
      </c>
    </row>
    <row r="209" spans="1:10" s="562" customFormat="1" x14ac:dyDescent="0.25">
      <c r="A209" s="535">
        <v>42757</v>
      </c>
      <c r="B209" s="322" t="s">
        <v>127</v>
      </c>
      <c r="C209" s="322"/>
      <c r="D209" s="392">
        <v>376270713997</v>
      </c>
      <c r="E209" s="550">
        <v>351215</v>
      </c>
      <c r="G209" s="515">
        <v>88</v>
      </c>
      <c r="H209" s="550">
        <v>2746333</v>
      </c>
      <c r="J209" s="550" t="s">
        <v>273</v>
      </c>
    </row>
    <row r="210" spans="1:10" s="562" customFormat="1" x14ac:dyDescent="0.25">
      <c r="A210" s="535">
        <v>42757</v>
      </c>
      <c r="B210" s="322" t="s">
        <v>127</v>
      </c>
      <c r="C210" s="322"/>
      <c r="D210" s="392">
        <v>376270713997</v>
      </c>
      <c r="E210" s="550">
        <v>351215</v>
      </c>
      <c r="G210" s="515">
        <v>30</v>
      </c>
      <c r="H210" s="550">
        <v>2746916</v>
      </c>
      <c r="J210" s="550" t="s">
        <v>273</v>
      </c>
    </row>
    <row r="211" spans="1:10" s="562" customFormat="1" x14ac:dyDescent="0.25">
      <c r="A211" s="535">
        <v>42757</v>
      </c>
      <c r="B211" s="322" t="s">
        <v>127</v>
      </c>
      <c r="C211" s="322"/>
      <c r="D211" s="392">
        <v>376270713997</v>
      </c>
      <c r="E211" s="550">
        <v>351215</v>
      </c>
      <c r="G211" s="515">
        <v>58.73</v>
      </c>
      <c r="H211" s="550">
        <v>2746815</v>
      </c>
      <c r="J211" s="550" t="s">
        <v>273</v>
      </c>
    </row>
    <row r="212" spans="1:10" s="562" customFormat="1" x14ac:dyDescent="0.25">
      <c r="A212" s="535">
        <v>42757</v>
      </c>
      <c r="B212" s="322" t="s">
        <v>127</v>
      </c>
      <c r="C212" s="322"/>
      <c r="D212" s="392">
        <v>376270713997</v>
      </c>
      <c r="E212" s="550">
        <v>351215</v>
      </c>
      <c r="G212" s="515">
        <v>88</v>
      </c>
      <c r="H212" s="550">
        <v>2743711</v>
      </c>
      <c r="J212" s="550" t="s">
        <v>273</v>
      </c>
    </row>
    <row r="213" spans="1:10" s="336" customFormat="1" x14ac:dyDescent="0.25">
      <c r="A213" s="530">
        <v>42758</v>
      </c>
      <c r="B213" s="335" t="s">
        <v>127</v>
      </c>
      <c r="C213" s="335" t="s">
        <v>151</v>
      </c>
      <c r="D213" s="529">
        <v>376268723990</v>
      </c>
      <c r="E213" s="342">
        <v>350843</v>
      </c>
      <c r="G213" s="514">
        <f>37.32+88.2</f>
        <v>125.52000000000001</v>
      </c>
      <c r="H213" s="342">
        <v>2731896</v>
      </c>
      <c r="J213" s="342" t="s">
        <v>2015</v>
      </c>
    </row>
    <row r="214" spans="1:10" s="336" customFormat="1" x14ac:dyDescent="0.25">
      <c r="A214" s="530">
        <v>42758</v>
      </c>
      <c r="B214" s="335" t="s">
        <v>127</v>
      </c>
      <c r="C214" s="335" t="s">
        <v>151</v>
      </c>
      <c r="D214" s="529">
        <v>376268723990</v>
      </c>
      <c r="E214" s="342">
        <v>350843</v>
      </c>
      <c r="G214" s="514">
        <f>9.82+56.07</f>
        <v>65.89</v>
      </c>
      <c r="H214" s="342">
        <v>2729484</v>
      </c>
      <c r="J214" s="342" t="s">
        <v>2015</v>
      </c>
    </row>
    <row r="215" spans="1:10" s="336" customFormat="1" x14ac:dyDescent="0.25">
      <c r="A215" s="530">
        <v>42759</v>
      </c>
      <c r="B215" s="335" t="s">
        <v>127</v>
      </c>
      <c r="C215" s="335" t="s">
        <v>151</v>
      </c>
      <c r="D215" s="529">
        <v>376268723990</v>
      </c>
      <c r="E215" s="342">
        <v>350843</v>
      </c>
      <c r="G215" s="514">
        <f>21.64+51.32</f>
        <v>72.960000000000008</v>
      </c>
      <c r="H215" s="342">
        <v>2734762</v>
      </c>
      <c r="J215" s="342" t="s">
        <v>2015</v>
      </c>
    </row>
    <row r="216" spans="1:10" s="336" customFormat="1" x14ac:dyDescent="0.25">
      <c r="A216" s="530">
        <v>42760</v>
      </c>
      <c r="B216" s="335" t="s">
        <v>127</v>
      </c>
      <c r="C216" s="335" t="s">
        <v>151</v>
      </c>
      <c r="D216" s="529">
        <v>376268723990</v>
      </c>
      <c r="E216" s="342">
        <v>350843</v>
      </c>
      <c r="G216" s="514">
        <f>17.59+57.97</f>
        <v>75.56</v>
      </c>
      <c r="H216" s="342">
        <v>2737681</v>
      </c>
      <c r="J216" s="342" t="s">
        <v>2015</v>
      </c>
    </row>
    <row r="217" spans="1:10" s="336" customFormat="1" x14ac:dyDescent="0.25">
      <c r="A217" s="530">
        <v>42761</v>
      </c>
      <c r="B217" s="335" t="s">
        <v>127</v>
      </c>
      <c r="C217" s="335" t="s">
        <v>151</v>
      </c>
      <c r="D217" s="529">
        <v>376268723990</v>
      </c>
      <c r="E217" s="342">
        <v>350843</v>
      </c>
      <c r="G217" s="514">
        <f>48.9+101.47</f>
        <v>150.37</v>
      </c>
      <c r="H217" s="342">
        <v>2743884</v>
      </c>
      <c r="J217" s="342" t="s">
        <v>2015</v>
      </c>
    </row>
    <row r="218" spans="1:10" s="336" customFormat="1" x14ac:dyDescent="0.25">
      <c r="A218" s="530">
        <v>42761</v>
      </c>
      <c r="B218" s="335" t="s">
        <v>127</v>
      </c>
      <c r="C218" s="335" t="s">
        <v>151</v>
      </c>
      <c r="D218" s="529">
        <v>376268723990</v>
      </c>
      <c r="E218" s="342">
        <v>350843</v>
      </c>
      <c r="G218" s="514">
        <f>10.68+66.36</f>
        <v>77.039999999999992</v>
      </c>
      <c r="H218" s="342">
        <v>2744080</v>
      </c>
      <c r="J218" s="342" t="s">
        <v>2015</v>
      </c>
    </row>
    <row r="219" spans="1:10" s="336" customFormat="1" x14ac:dyDescent="0.25">
      <c r="A219" s="530">
        <v>42761</v>
      </c>
      <c r="B219" s="335" t="s">
        <v>127</v>
      </c>
      <c r="C219" s="335" t="s">
        <v>151</v>
      </c>
      <c r="D219" s="529">
        <v>376268723990</v>
      </c>
      <c r="E219" s="342">
        <v>350843</v>
      </c>
      <c r="G219" s="514">
        <f>11.56+15.7</f>
        <v>27.259999999999998</v>
      </c>
      <c r="H219" s="342">
        <v>2745704</v>
      </c>
      <c r="J219" s="342" t="s">
        <v>2015</v>
      </c>
    </row>
    <row r="220" spans="1:10" s="336" customFormat="1" x14ac:dyDescent="0.25">
      <c r="A220" s="530">
        <v>42761</v>
      </c>
      <c r="B220" s="335" t="s">
        <v>127</v>
      </c>
      <c r="C220" s="335" t="s">
        <v>151</v>
      </c>
      <c r="D220" s="529">
        <v>376268723990</v>
      </c>
      <c r="E220" s="342">
        <v>350843</v>
      </c>
      <c r="G220" s="514">
        <f>29.84+94.08</f>
        <v>123.92</v>
      </c>
      <c r="H220" s="342">
        <v>2745779</v>
      </c>
      <c r="J220" s="342" t="s">
        <v>2015</v>
      </c>
    </row>
    <row r="221" spans="1:10" s="336" customFormat="1" x14ac:dyDescent="0.25">
      <c r="A221" s="530">
        <v>42762</v>
      </c>
      <c r="B221" s="335" t="s">
        <v>127</v>
      </c>
      <c r="C221" s="335" t="s">
        <v>151</v>
      </c>
      <c r="D221" s="529">
        <v>376268723990</v>
      </c>
      <c r="E221" s="342">
        <v>350843</v>
      </c>
      <c r="G221" s="514">
        <f>27.25+60.38</f>
        <v>87.63</v>
      </c>
      <c r="H221" s="342">
        <v>2750350</v>
      </c>
      <c r="J221" s="342" t="s">
        <v>2015</v>
      </c>
    </row>
    <row r="222" spans="1:10" s="336" customFormat="1" x14ac:dyDescent="0.25">
      <c r="A222" s="530">
        <v>42758</v>
      </c>
      <c r="B222" s="335" t="s">
        <v>127</v>
      </c>
      <c r="C222" s="335" t="s">
        <v>151</v>
      </c>
      <c r="D222" s="529">
        <v>376271092995</v>
      </c>
      <c r="E222" s="342">
        <v>351307</v>
      </c>
      <c r="G222" s="514">
        <f>10.9+53.05</f>
        <v>63.949999999999996</v>
      </c>
      <c r="H222" s="342">
        <v>2732763</v>
      </c>
      <c r="J222" s="521" t="s">
        <v>2021</v>
      </c>
    </row>
    <row r="223" spans="1:10" s="336" customFormat="1" x14ac:dyDescent="0.25">
      <c r="A223" s="530">
        <v>42758</v>
      </c>
      <c r="B223" s="335" t="s">
        <v>127</v>
      </c>
      <c r="C223" s="335" t="s">
        <v>151</v>
      </c>
      <c r="D223" s="529">
        <v>376271092995</v>
      </c>
      <c r="E223" s="342">
        <v>351307</v>
      </c>
      <c r="G223" s="514">
        <f>11.85+56.7</f>
        <v>68.55</v>
      </c>
      <c r="H223" s="342">
        <v>2733787</v>
      </c>
      <c r="J223" s="521" t="s">
        <v>1993</v>
      </c>
    </row>
    <row r="224" spans="1:10" s="336" customFormat="1" x14ac:dyDescent="0.25">
      <c r="A224" s="530">
        <v>42759</v>
      </c>
      <c r="B224" s="335" t="s">
        <v>127</v>
      </c>
      <c r="C224" s="335" t="s">
        <v>151</v>
      </c>
      <c r="D224" s="529">
        <v>376271092995</v>
      </c>
      <c r="E224" s="342">
        <v>351307</v>
      </c>
      <c r="G224" s="514">
        <f>10.9+53.05</f>
        <v>63.949999999999996</v>
      </c>
      <c r="H224" s="342">
        <v>2736526</v>
      </c>
      <c r="J224" s="521" t="s">
        <v>1993</v>
      </c>
    </row>
    <row r="225" spans="1:10" s="336" customFormat="1" x14ac:dyDescent="0.25">
      <c r="A225" s="530">
        <v>42759</v>
      </c>
      <c r="B225" s="335" t="s">
        <v>127</v>
      </c>
      <c r="C225" s="335" t="s">
        <v>151</v>
      </c>
      <c r="D225" s="529">
        <v>376271092995</v>
      </c>
      <c r="E225" s="342">
        <v>351307</v>
      </c>
      <c r="G225" s="514">
        <f>20.82+34.13</f>
        <v>54.95</v>
      </c>
      <c r="H225" s="342">
        <v>2735726</v>
      </c>
      <c r="J225" s="521" t="s">
        <v>1993</v>
      </c>
    </row>
    <row r="226" spans="1:10" s="336" customFormat="1" x14ac:dyDescent="0.25">
      <c r="A226" s="530">
        <v>42759</v>
      </c>
      <c r="B226" s="335" t="s">
        <v>127</v>
      </c>
      <c r="C226" s="335" t="s">
        <v>151</v>
      </c>
      <c r="D226" s="529">
        <v>376271092995</v>
      </c>
      <c r="E226" s="342">
        <v>351307</v>
      </c>
      <c r="G226" s="514">
        <f>4.2+69.7</f>
        <v>73.900000000000006</v>
      </c>
      <c r="H226" s="342">
        <v>2736878</v>
      </c>
      <c r="J226" s="521" t="s">
        <v>1993</v>
      </c>
    </row>
    <row r="227" spans="1:10" s="336" customFormat="1" x14ac:dyDescent="0.25">
      <c r="A227" s="530">
        <v>42760</v>
      </c>
      <c r="B227" s="335" t="s">
        <v>127</v>
      </c>
      <c r="C227" s="335" t="s">
        <v>151</v>
      </c>
      <c r="D227" s="529">
        <v>376271092995</v>
      </c>
      <c r="E227" s="342">
        <v>351307</v>
      </c>
      <c r="G227" s="514">
        <f>9.45+103.4</f>
        <v>112.85000000000001</v>
      </c>
      <c r="H227" s="342">
        <v>2743366</v>
      </c>
      <c r="J227" s="521" t="s">
        <v>1993</v>
      </c>
    </row>
    <row r="228" spans="1:10" s="336" customFormat="1" x14ac:dyDescent="0.25">
      <c r="A228" s="530">
        <v>42762</v>
      </c>
      <c r="B228" s="335" t="s">
        <v>127</v>
      </c>
      <c r="C228" s="335" t="s">
        <v>151</v>
      </c>
      <c r="D228" s="529">
        <v>376271092995</v>
      </c>
      <c r="E228" s="342">
        <v>351307</v>
      </c>
      <c r="G228" s="514">
        <f>20.82+34.13</f>
        <v>54.95</v>
      </c>
      <c r="H228" s="342">
        <v>2748070</v>
      </c>
      <c r="J228" s="521" t="s">
        <v>1993</v>
      </c>
    </row>
    <row r="229" spans="1:10" s="336" customFormat="1" x14ac:dyDescent="0.25">
      <c r="A229" s="530">
        <v>42762</v>
      </c>
      <c r="B229" s="335" t="s">
        <v>127</v>
      </c>
      <c r="C229" s="335" t="s">
        <v>151</v>
      </c>
      <c r="D229" s="529">
        <v>376271092995</v>
      </c>
      <c r="E229" s="342">
        <v>351307</v>
      </c>
      <c r="G229" s="514">
        <f>4.85+47.1</f>
        <v>51.95</v>
      </c>
      <c r="H229" s="342">
        <v>2749166</v>
      </c>
      <c r="J229" s="521" t="s">
        <v>1993</v>
      </c>
    </row>
    <row r="230" spans="1:10" s="336" customFormat="1" x14ac:dyDescent="0.25">
      <c r="A230" s="530">
        <v>42762</v>
      </c>
      <c r="B230" s="335" t="s">
        <v>127</v>
      </c>
      <c r="C230" s="335" t="s">
        <v>151</v>
      </c>
      <c r="D230" s="529">
        <v>376274887995</v>
      </c>
      <c r="E230" s="342">
        <v>353064</v>
      </c>
      <c r="G230" s="514">
        <f>13.13+42.82</f>
        <v>55.95</v>
      </c>
      <c r="H230" s="342">
        <v>2748956</v>
      </c>
      <c r="J230" s="342" t="s">
        <v>1994</v>
      </c>
    </row>
    <row r="231" spans="1:10" s="336" customFormat="1" x14ac:dyDescent="0.25">
      <c r="A231" s="530">
        <v>42759</v>
      </c>
      <c r="B231" s="335" t="s">
        <v>127</v>
      </c>
      <c r="C231" s="335" t="s">
        <v>151</v>
      </c>
      <c r="D231" s="529">
        <v>376268786997</v>
      </c>
      <c r="E231" s="342">
        <v>350875</v>
      </c>
      <c r="G231" s="514">
        <f>18.35+45.6</f>
        <v>63.95</v>
      </c>
      <c r="H231" s="342">
        <v>2739013</v>
      </c>
      <c r="J231" s="521" t="s">
        <v>2011</v>
      </c>
    </row>
    <row r="232" spans="1:10" s="336" customFormat="1" x14ac:dyDescent="0.25">
      <c r="A232" s="530">
        <v>42761</v>
      </c>
      <c r="B232" s="335" t="s">
        <v>127</v>
      </c>
      <c r="C232" s="335" t="s">
        <v>151</v>
      </c>
      <c r="D232" s="529">
        <v>376268786997</v>
      </c>
      <c r="E232" s="342">
        <v>350875</v>
      </c>
      <c r="G232" s="514">
        <f>7.42+15.85</f>
        <v>23.27</v>
      </c>
      <c r="H232" s="342">
        <v>2745538</v>
      </c>
      <c r="J232" s="521" t="s">
        <v>2011</v>
      </c>
    </row>
    <row r="233" spans="1:10" s="336" customFormat="1" x14ac:dyDescent="0.25">
      <c r="A233" s="530">
        <v>42762</v>
      </c>
      <c r="B233" s="335" t="s">
        <v>127</v>
      </c>
      <c r="C233" s="335" t="s">
        <v>151</v>
      </c>
      <c r="D233" s="529">
        <v>376268786997</v>
      </c>
      <c r="E233" s="342">
        <v>350875</v>
      </c>
      <c r="G233" s="514">
        <f>24.04+61.77</f>
        <v>85.81</v>
      </c>
      <c r="H233" s="342">
        <v>2749871</v>
      </c>
      <c r="J233" s="521" t="s">
        <v>2011</v>
      </c>
    </row>
    <row r="234" spans="1:10" s="336" customFormat="1" x14ac:dyDescent="0.25">
      <c r="A234" s="530">
        <v>42760</v>
      </c>
      <c r="B234" s="335" t="s">
        <v>127</v>
      </c>
      <c r="C234" s="335" t="s">
        <v>151</v>
      </c>
      <c r="D234" s="529">
        <v>376268127994</v>
      </c>
      <c r="E234" s="342">
        <v>350776</v>
      </c>
      <c r="G234" s="514">
        <f>32.15+48.6</f>
        <v>80.75</v>
      </c>
      <c r="H234" s="342">
        <v>2742452</v>
      </c>
      <c r="J234" s="521" t="s">
        <v>2008</v>
      </c>
    </row>
    <row r="235" spans="1:10" s="336" customFormat="1" x14ac:dyDescent="0.25">
      <c r="A235" s="530">
        <v>42761</v>
      </c>
      <c r="B235" s="335" t="s">
        <v>127</v>
      </c>
      <c r="C235" s="335" t="s">
        <v>151</v>
      </c>
      <c r="D235" s="529">
        <v>376268127994</v>
      </c>
      <c r="E235" s="342">
        <v>350776</v>
      </c>
      <c r="G235" s="514">
        <f>7.69+29.91</f>
        <v>37.6</v>
      </c>
      <c r="H235" s="342">
        <v>2744617</v>
      </c>
      <c r="J235" s="521" t="s">
        <v>2008</v>
      </c>
    </row>
    <row r="236" spans="1:10" s="336" customFormat="1" x14ac:dyDescent="0.25">
      <c r="A236" s="530">
        <v>42759</v>
      </c>
      <c r="B236" s="335" t="s">
        <v>127</v>
      </c>
      <c r="C236" s="335" t="s">
        <v>151</v>
      </c>
      <c r="D236" s="529">
        <v>376266494990</v>
      </c>
      <c r="E236" s="342">
        <v>350484</v>
      </c>
      <c r="G236" s="514">
        <f>5.2+24.56</f>
        <v>29.759999999999998</v>
      </c>
      <c r="H236" s="342">
        <v>2731415</v>
      </c>
      <c r="J236" s="521" t="s">
        <v>2004</v>
      </c>
    </row>
    <row r="237" spans="1:10" s="336" customFormat="1" x14ac:dyDescent="0.25">
      <c r="A237" s="530">
        <v>42760</v>
      </c>
      <c r="B237" s="335" t="s">
        <v>127</v>
      </c>
      <c r="C237" s="335" t="s">
        <v>151</v>
      </c>
      <c r="D237" s="529">
        <v>376266494990</v>
      </c>
      <c r="E237" s="342">
        <v>350484</v>
      </c>
      <c r="G237" s="514">
        <f>9.52+25.24</f>
        <v>34.76</v>
      </c>
      <c r="H237" s="342">
        <v>2741125</v>
      </c>
      <c r="J237" s="521" t="s">
        <v>2004</v>
      </c>
    </row>
    <row r="238" spans="1:10" s="336" customFormat="1" x14ac:dyDescent="0.25">
      <c r="A238" s="530">
        <v>42761</v>
      </c>
      <c r="B238" s="335" t="s">
        <v>127</v>
      </c>
      <c r="C238" s="335" t="s">
        <v>151</v>
      </c>
      <c r="D238" s="529">
        <v>376266494990</v>
      </c>
      <c r="E238" s="342">
        <v>350484</v>
      </c>
      <c r="G238" s="514">
        <f>7.84+35.36</f>
        <v>43.2</v>
      </c>
      <c r="H238" s="342">
        <v>2745015</v>
      </c>
      <c r="J238" s="521" t="s">
        <v>2004</v>
      </c>
    </row>
    <row r="239" spans="1:10" s="336" customFormat="1" x14ac:dyDescent="0.25">
      <c r="A239" s="530">
        <v>42761</v>
      </c>
      <c r="B239" s="335" t="s">
        <v>127</v>
      </c>
      <c r="C239" s="335" t="s">
        <v>151</v>
      </c>
      <c r="D239" s="529">
        <v>376266494990</v>
      </c>
      <c r="E239" s="342">
        <v>350484</v>
      </c>
      <c r="G239" s="514">
        <f>29.89+21.7</f>
        <v>51.59</v>
      </c>
      <c r="H239" s="342">
        <v>2738105</v>
      </c>
      <c r="J239" s="521" t="s">
        <v>2004</v>
      </c>
    </row>
    <row r="240" spans="1:10" s="336" customFormat="1" x14ac:dyDescent="0.25">
      <c r="A240" s="530">
        <v>42764</v>
      </c>
      <c r="B240" s="335" t="s">
        <v>127</v>
      </c>
      <c r="C240" s="335" t="s">
        <v>151</v>
      </c>
      <c r="D240" s="529">
        <v>376266494990</v>
      </c>
      <c r="E240" s="342">
        <v>350484</v>
      </c>
      <c r="G240" s="514">
        <f>24.43+75.74</f>
        <v>100.16999999999999</v>
      </c>
      <c r="H240" s="342">
        <v>2750999</v>
      </c>
      <c r="J240" s="521" t="s">
        <v>2004</v>
      </c>
    </row>
    <row r="241" spans="1:11" s="562" customFormat="1" x14ac:dyDescent="0.25">
      <c r="A241" s="535">
        <v>42764</v>
      </c>
      <c r="B241" s="322" t="s">
        <v>127</v>
      </c>
      <c r="C241" s="322"/>
      <c r="D241" s="392">
        <v>37620713997</v>
      </c>
      <c r="E241" s="550">
        <v>351215</v>
      </c>
      <c r="G241" s="515">
        <v>176.45</v>
      </c>
      <c r="H241" s="550">
        <v>2752142</v>
      </c>
      <c r="J241" s="532" t="s">
        <v>1995</v>
      </c>
    </row>
    <row r="242" spans="1:11" s="562" customFormat="1" x14ac:dyDescent="0.25">
      <c r="A242" s="535">
        <v>42765</v>
      </c>
      <c r="B242" s="322" t="s">
        <v>127</v>
      </c>
      <c r="C242" s="322"/>
      <c r="D242" s="392">
        <v>37620713997</v>
      </c>
      <c r="E242" s="550">
        <v>351215</v>
      </c>
      <c r="G242" s="515">
        <v>236</v>
      </c>
      <c r="H242" s="550">
        <v>2755547</v>
      </c>
      <c r="J242" s="532" t="s">
        <v>1995</v>
      </c>
    </row>
    <row r="243" spans="1:11" s="562" customFormat="1" x14ac:dyDescent="0.25">
      <c r="A243" s="535">
        <v>42765</v>
      </c>
      <c r="B243" s="322" t="s">
        <v>127</v>
      </c>
      <c r="C243" s="322"/>
      <c r="D243" s="392">
        <v>37620713997</v>
      </c>
      <c r="E243" s="550">
        <v>351215</v>
      </c>
      <c r="G243" s="515">
        <v>124.12</v>
      </c>
      <c r="H243" s="550">
        <v>2755059</v>
      </c>
      <c r="J243" s="532" t="s">
        <v>1995</v>
      </c>
    </row>
    <row r="244" spans="1:11" s="562" customFormat="1" x14ac:dyDescent="0.25">
      <c r="A244" s="535">
        <v>42765</v>
      </c>
      <c r="B244" s="322" t="s">
        <v>127</v>
      </c>
      <c r="C244" s="322"/>
      <c r="D244" s="392">
        <v>37620713997</v>
      </c>
      <c r="E244" s="550">
        <v>351215</v>
      </c>
      <c r="G244" s="515">
        <v>49.5</v>
      </c>
      <c r="H244" s="550">
        <v>2749975</v>
      </c>
      <c r="J244" s="532" t="s">
        <v>1995</v>
      </c>
    </row>
    <row r="245" spans="1:11" s="562" customFormat="1" x14ac:dyDescent="0.25">
      <c r="A245" s="535">
        <v>42766</v>
      </c>
      <c r="B245" s="322" t="s">
        <v>127</v>
      </c>
      <c r="C245" s="322"/>
      <c r="D245" s="392">
        <v>37620713997</v>
      </c>
      <c r="E245" s="550">
        <v>351215</v>
      </c>
      <c r="G245" s="515">
        <v>84.53</v>
      </c>
      <c r="H245" s="550">
        <v>2757054</v>
      </c>
      <c r="J245" s="532" t="s">
        <v>1995</v>
      </c>
    </row>
    <row r="246" spans="1:11" s="562" customFormat="1" x14ac:dyDescent="0.25">
      <c r="A246" s="535">
        <v>42766</v>
      </c>
      <c r="B246" s="322" t="s">
        <v>127</v>
      </c>
      <c r="C246" s="322"/>
      <c r="D246" s="392">
        <v>37620713997</v>
      </c>
      <c r="E246" s="550">
        <v>351215</v>
      </c>
      <c r="G246" s="515">
        <v>68.36</v>
      </c>
      <c r="H246" s="550">
        <v>2758653</v>
      </c>
      <c r="J246" s="532" t="s">
        <v>1995</v>
      </c>
    </row>
    <row r="247" spans="1:11" s="336" customFormat="1" x14ac:dyDescent="0.25">
      <c r="A247" s="530">
        <v>42765</v>
      </c>
      <c r="B247" s="335" t="s">
        <v>127</v>
      </c>
      <c r="C247" s="335"/>
      <c r="D247" s="529">
        <v>376270713997</v>
      </c>
      <c r="E247" s="342">
        <v>351215</v>
      </c>
      <c r="G247" s="514">
        <f>37.04+79.59</f>
        <v>116.63</v>
      </c>
      <c r="H247" s="342">
        <v>2755549</v>
      </c>
      <c r="J247" s="513" t="s">
        <v>1996</v>
      </c>
    </row>
    <row r="248" spans="1:11" s="336" customFormat="1" x14ac:dyDescent="0.25">
      <c r="A248" s="530">
        <v>42765</v>
      </c>
      <c r="B248" s="335" t="s">
        <v>127</v>
      </c>
      <c r="C248" s="335" t="s">
        <v>151</v>
      </c>
      <c r="D248" s="529">
        <v>376268723990</v>
      </c>
      <c r="E248" s="342">
        <v>350843</v>
      </c>
      <c r="G248" s="514">
        <f>14.16+46.7</f>
        <v>60.86</v>
      </c>
      <c r="H248" s="342">
        <v>2754050</v>
      </c>
      <c r="J248" s="521" t="s">
        <v>1998</v>
      </c>
    </row>
    <row r="249" spans="1:11" s="336" customFormat="1" x14ac:dyDescent="0.25">
      <c r="A249" s="530">
        <v>42765</v>
      </c>
      <c r="B249" s="335" t="s">
        <v>127</v>
      </c>
      <c r="C249" s="335" t="s">
        <v>151</v>
      </c>
      <c r="D249" s="529">
        <v>376268723990</v>
      </c>
      <c r="E249" s="342">
        <v>350843</v>
      </c>
      <c r="G249" s="514">
        <f>15.57+53.97</f>
        <v>69.539999999999992</v>
      </c>
      <c r="H249" s="342">
        <v>2752609</v>
      </c>
      <c r="J249" s="521" t="s">
        <v>1998</v>
      </c>
    </row>
    <row r="250" spans="1:11" s="336" customFormat="1" x14ac:dyDescent="0.25">
      <c r="A250" s="530">
        <v>42765</v>
      </c>
      <c r="B250" s="335" t="s">
        <v>127</v>
      </c>
      <c r="C250" s="335" t="s">
        <v>151</v>
      </c>
      <c r="D250" s="529">
        <v>376268723990</v>
      </c>
      <c r="E250" s="342">
        <v>350843</v>
      </c>
      <c r="G250" s="514">
        <f>41.9+95.7</f>
        <v>137.6</v>
      </c>
      <c r="H250" s="342">
        <v>2752565</v>
      </c>
      <c r="J250" s="521" t="s">
        <v>1998</v>
      </c>
    </row>
    <row r="251" spans="1:11" s="336" customFormat="1" x14ac:dyDescent="0.25">
      <c r="A251" s="530">
        <v>42766</v>
      </c>
      <c r="B251" s="335" t="s">
        <v>127</v>
      </c>
      <c r="C251" s="335" t="s">
        <v>151</v>
      </c>
      <c r="D251" s="529">
        <v>376268723990</v>
      </c>
      <c r="E251" s="342">
        <v>350843</v>
      </c>
      <c r="G251" s="514">
        <f>6.81+14.93</f>
        <v>21.74</v>
      </c>
      <c r="H251" s="342">
        <v>2758371</v>
      </c>
      <c r="J251" s="521" t="s">
        <v>1998</v>
      </c>
    </row>
    <row r="252" spans="1:11" s="336" customFormat="1" x14ac:dyDescent="0.25">
      <c r="A252" s="530">
        <v>42766</v>
      </c>
      <c r="B252" s="335" t="s">
        <v>127</v>
      </c>
      <c r="C252" s="335" t="s">
        <v>151</v>
      </c>
      <c r="D252" s="529">
        <v>376268723990</v>
      </c>
      <c r="E252" s="342">
        <v>350843</v>
      </c>
      <c r="G252" s="514">
        <f>16.81+36.83</f>
        <v>53.64</v>
      </c>
      <c r="H252" s="342">
        <v>2756958</v>
      </c>
      <c r="J252" s="521" t="s">
        <v>1998</v>
      </c>
    </row>
    <row r="253" spans="1:11" s="562" customFormat="1" x14ac:dyDescent="0.25">
      <c r="A253" s="535">
        <v>42766</v>
      </c>
      <c r="B253" s="322" t="s">
        <v>127</v>
      </c>
      <c r="C253" s="322" t="s">
        <v>151</v>
      </c>
      <c r="D253" s="392">
        <v>376266964992</v>
      </c>
      <c r="E253" s="550">
        <v>221254</v>
      </c>
      <c r="G253" s="515">
        <f>9.25+61.7</f>
        <v>70.95</v>
      </c>
      <c r="H253" s="550">
        <v>2758002</v>
      </c>
      <c r="J253" s="550" t="s">
        <v>274</v>
      </c>
    </row>
    <row r="254" spans="1:11" s="562" customFormat="1" x14ac:dyDescent="0.25">
      <c r="A254" s="535">
        <v>42766</v>
      </c>
      <c r="B254" s="322" t="s">
        <v>127</v>
      </c>
      <c r="C254" s="322" t="s">
        <v>151</v>
      </c>
      <c r="D254" s="392">
        <v>376266964992</v>
      </c>
      <c r="E254" s="550">
        <v>221254</v>
      </c>
      <c r="G254" s="515">
        <f>4.36+31.59</f>
        <v>35.950000000000003</v>
      </c>
      <c r="H254" s="550">
        <v>2758026</v>
      </c>
      <c r="J254" s="550" t="s">
        <v>274</v>
      </c>
    </row>
    <row r="255" spans="1:11" s="562" customFormat="1" x14ac:dyDescent="0.25">
      <c r="A255" s="535">
        <v>42766</v>
      </c>
      <c r="B255" s="322" t="s">
        <v>127</v>
      </c>
      <c r="C255" s="322"/>
      <c r="D255" s="392">
        <v>376274559990</v>
      </c>
      <c r="E255" s="550">
        <v>352777</v>
      </c>
      <c r="G255" s="515">
        <f>22.52+41.89</f>
        <v>64.41</v>
      </c>
      <c r="H255" s="550">
        <v>2758764</v>
      </c>
      <c r="J255" s="550" t="s">
        <v>274</v>
      </c>
    </row>
    <row r="256" spans="1:11" s="336" customFormat="1" x14ac:dyDescent="0.25">
      <c r="A256" s="530">
        <v>42765</v>
      </c>
      <c r="B256" s="335" t="s">
        <v>127</v>
      </c>
      <c r="C256" s="335" t="s">
        <v>151</v>
      </c>
      <c r="D256" s="529">
        <v>376271092995</v>
      </c>
      <c r="E256" s="342">
        <v>351307</v>
      </c>
      <c r="G256" s="514">
        <f>4.85+47.1</f>
        <v>51.95</v>
      </c>
      <c r="H256" s="342">
        <v>2754033</v>
      </c>
      <c r="J256" s="521" t="s">
        <v>1999</v>
      </c>
      <c r="K256" s="521"/>
    </row>
    <row r="257" spans="1:10" s="336" customFormat="1" ht="21.75" customHeight="1" x14ac:dyDescent="0.25">
      <c r="A257" s="512" t="s">
        <v>2022</v>
      </c>
      <c r="B257" s="335" t="s">
        <v>127</v>
      </c>
      <c r="D257" s="511" t="s">
        <v>2023</v>
      </c>
      <c r="E257" s="545">
        <v>353024</v>
      </c>
      <c r="G257" s="514">
        <v>179.14</v>
      </c>
      <c r="J257" s="545" t="s">
        <v>2024</v>
      </c>
    </row>
    <row r="258" spans="1:10" s="336" customFormat="1" ht="30.6" customHeight="1" x14ac:dyDescent="0.25">
      <c r="A258" s="547" t="s">
        <v>2022</v>
      </c>
      <c r="B258" s="335" t="s">
        <v>0</v>
      </c>
      <c r="C258" s="336" t="s">
        <v>238</v>
      </c>
      <c r="D258" s="510" t="s">
        <v>2025</v>
      </c>
      <c r="E258" s="509">
        <v>352518</v>
      </c>
      <c r="G258" s="514">
        <v>47.14</v>
      </c>
      <c r="J258" s="545" t="s">
        <v>2026</v>
      </c>
    </row>
    <row r="259" spans="1:10" x14ac:dyDescent="0.25">
      <c r="A259" s="555" t="s">
        <v>2022</v>
      </c>
      <c r="B259" s="323" t="s">
        <v>0</v>
      </c>
      <c r="C259" s="2"/>
      <c r="D259" s="561" t="s">
        <v>2027</v>
      </c>
      <c r="E259" s="553">
        <v>352077</v>
      </c>
      <c r="F259" s="553">
        <v>761693</v>
      </c>
      <c r="G259" s="508">
        <v>23.41</v>
      </c>
      <c r="H259" s="2">
        <v>2761693</v>
      </c>
      <c r="J259" s="553" t="s">
        <v>6</v>
      </c>
    </row>
    <row r="260" spans="1:10" s="336" customFormat="1" x14ac:dyDescent="0.25">
      <c r="A260" s="547" t="s">
        <v>2022</v>
      </c>
      <c r="B260" s="335" t="s">
        <v>0</v>
      </c>
      <c r="C260" s="335" t="s">
        <v>238</v>
      </c>
      <c r="D260" s="507" t="s">
        <v>2028</v>
      </c>
      <c r="E260" s="545">
        <v>350374</v>
      </c>
      <c r="F260" s="545">
        <v>766685</v>
      </c>
      <c r="G260" s="514">
        <v>29.87</v>
      </c>
      <c r="H260" s="336">
        <v>2766685</v>
      </c>
      <c r="J260" s="526" t="s">
        <v>124</v>
      </c>
    </row>
    <row r="261" spans="1:10" x14ac:dyDescent="0.25">
      <c r="A261" s="555" t="s">
        <v>2022</v>
      </c>
      <c r="B261" s="323" t="s">
        <v>0</v>
      </c>
      <c r="C261" s="2" t="s">
        <v>2062</v>
      </c>
      <c r="D261" s="561" t="s">
        <v>2029</v>
      </c>
      <c r="E261" s="553">
        <v>352574</v>
      </c>
      <c r="F261" s="553">
        <v>733363</v>
      </c>
      <c r="G261" s="508">
        <v>36.950000000000003</v>
      </c>
      <c r="H261" s="2">
        <v>2733363</v>
      </c>
      <c r="J261" s="565" t="s">
        <v>124</v>
      </c>
    </row>
    <row r="262" spans="1:10" x14ac:dyDescent="0.25">
      <c r="A262" s="555" t="s">
        <v>2022</v>
      </c>
      <c r="B262" s="323" t="s">
        <v>2031</v>
      </c>
      <c r="C262" s="2"/>
      <c r="D262" s="561" t="s">
        <v>2030</v>
      </c>
      <c r="E262" s="553">
        <v>226408</v>
      </c>
      <c r="F262" s="553"/>
      <c r="G262" s="514">
        <v>39.32</v>
      </c>
      <c r="H262" s="2">
        <v>2757184</v>
      </c>
      <c r="J262" s="553" t="s">
        <v>117</v>
      </c>
    </row>
    <row r="263" spans="1:10" s="336" customFormat="1" x14ac:dyDescent="0.25">
      <c r="A263" s="547" t="s">
        <v>2022</v>
      </c>
      <c r="B263" s="335" t="s">
        <v>0</v>
      </c>
      <c r="C263" s="335" t="s">
        <v>238</v>
      </c>
      <c r="D263" s="507" t="s">
        <v>390</v>
      </c>
      <c r="E263" s="545">
        <v>351237</v>
      </c>
      <c r="F263" s="545">
        <v>763522</v>
      </c>
      <c r="G263" s="514">
        <v>75.95</v>
      </c>
      <c r="H263" s="336">
        <v>2763522</v>
      </c>
      <c r="J263" s="526" t="s">
        <v>2044</v>
      </c>
    </row>
    <row r="264" spans="1:10" s="336" customFormat="1" x14ac:dyDescent="0.25">
      <c r="A264" s="547" t="s">
        <v>2022</v>
      </c>
      <c r="B264" s="335" t="s">
        <v>0</v>
      </c>
      <c r="C264" s="335" t="s">
        <v>238</v>
      </c>
      <c r="D264" s="507" t="s">
        <v>2032</v>
      </c>
      <c r="E264" s="545">
        <v>215835</v>
      </c>
      <c r="F264" s="545">
        <v>769444</v>
      </c>
      <c r="G264" s="514">
        <v>87.22</v>
      </c>
      <c r="H264" s="336">
        <v>2769444</v>
      </c>
      <c r="J264" s="526" t="s">
        <v>2044</v>
      </c>
    </row>
    <row r="265" spans="1:10" s="336" customFormat="1" x14ac:dyDescent="0.25">
      <c r="A265" s="547" t="s">
        <v>2022</v>
      </c>
      <c r="B265" s="335" t="s">
        <v>0</v>
      </c>
      <c r="C265" s="335" t="s">
        <v>238</v>
      </c>
      <c r="D265" s="507" t="s">
        <v>1322</v>
      </c>
      <c r="E265" s="545">
        <v>351735</v>
      </c>
      <c r="F265" s="545">
        <v>773171</v>
      </c>
      <c r="G265" s="514">
        <v>95.95</v>
      </c>
      <c r="H265" s="336">
        <v>2773171</v>
      </c>
      <c r="J265" s="526" t="s">
        <v>124</v>
      </c>
    </row>
    <row r="266" spans="1:10" x14ac:dyDescent="0.25">
      <c r="A266" s="555" t="s">
        <v>2022</v>
      </c>
      <c r="B266" s="323" t="s">
        <v>2031</v>
      </c>
      <c r="D266" s="561" t="s">
        <v>2033</v>
      </c>
      <c r="E266" s="553">
        <v>351971</v>
      </c>
      <c r="F266" s="553"/>
      <c r="G266" s="514">
        <v>98.82</v>
      </c>
      <c r="H266" s="2">
        <v>2772288</v>
      </c>
      <c r="J266" s="553" t="s">
        <v>117</v>
      </c>
    </row>
    <row r="267" spans="1:10" s="336" customFormat="1" x14ac:dyDescent="0.25">
      <c r="A267" s="547" t="s">
        <v>2022</v>
      </c>
      <c r="B267" s="335" t="s">
        <v>0</v>
      </c>
      <c r="C267" s="335" t="s">
        <v>238</v>
      </c>
      <c r="D267" s="507" t="s">
        <v>2034</v>
      </c>
      <c r="E267" s="545">
        <v>352044</v>
      </c>
      <c r="F267" s="545">
        <v>769925</v>
      </c>
      <c r="G267" s="514">
        <v>118.43</v>
      </c>
      <c r="H267" s="336">
        <v>2769925</v>
      </c>
      <c r="J267" s="526" t="s">
        <v>124</v>
      </c>
    </row>
    <row r="268" spans="1:10" x14ac:dyDescent="0.25">
      <c r="A268" s="555" t="s">
        <v>2022</v>
      </c>
      <c r="B268" s="323" t="s">
        <v>58</v>
      </c>
      <c r="C268" s="2"/>
      <c r="D268" s="561" t="s">
        <v>2035</v>
      </c>
      <c r="E268" s="553">
        <v>350520</v>
      </c>
      <c r="F268" s="553"/>
      <c r="G268" s="514">
        <v>119.06</v>
      </c>
      <c r="H268" s="2">
        <v>2771835</v>
      </c>
      <c r="J268" s="553" t="s">
        <v>117</v>
      </c>
    </row>
    <row r="269" spans="1:10" x14ac:dyDescent="0.25">
      <c r="A269" s="555" t="s">
        <v>2022</v>
      </c>
      <c r="B269" s="323" t="s">
        <v>0</v>
      </c>
      <c r="C269" s="2"/>
      <c r="D269" s="511" t="s">
        <v>2036</v>
      </c>
      <c r="E269" s="553">
        <v>352290</v>
      </c>
      <c r="F269" s="553">
        <v>752177</v>
      </c>
      <c r="G269" s="508">
        <v>123.89</v>
      </c>
      <c r="H269" s="2">
        <v>2752177</v>
      </c>
      <c r="J269" s="553" t="s">
        <v>6</v>
      </c>
    </row>
    <row r="270" spans="1:10" x14ac:dyDescent="0.25">
      <c r="A270" s="555" t="s">
        <v>2022</v>
      </c>
      <c r="B270" s="323" t="s">
        <v>0</v>
      </c>
      <c r="C270" s="2"/>
      <c r="D270" s="511" t="s">
        <v>2037</v>
      </c>
      <c r="E270" s="553">
        <v>350547</v>
      </c>
      <c r="F270" s="553">
        <v>769677</v>
      </c>
      <c r="G270" s="508">
        <v>224.01</v>
      </c>
      <c r="H270" s="2">
        <v>2769677</v>
      </c>
      <c r="J270" s="553" t="s">
        <v>6</v>
      </c>
    </row>
    <row r="271" spans="1:10" s="336" customFormat="1" x14ac:dyDescent="0.25">
      <c r="A271" s="530">
        <v>42768</v>
      </c>
      <c r="B271" s="335" t="s">
        <v>127</v>
      </c>
      <c r="C271" s="335" t="s">
        <v>151</v>
      </c>
      <c r="D271" s="529">
        <v>376266494990</v>
      </c>
      <c r="E271" s="342">
        <v>350484</v>
      </c>
      <c r="G271" s="514">
        <f>89.49+268.83</f>
        <v>358.32</v>
      </c>
      <c r="H271" s="545">
        <v>2766224</v>
      </c>
      <c r="J271" s="513" t="s">
        <v>2038</v>
      </c>
    </row>
    <row r="272" spans="1:10" s="336" customFormat="1" x14ac:dyDescent="0.25">
      <c r="A272" s="530">
        <v>42768</v>
      </c>
      <c r="B272" s="335" t="s">
        <v>127</v>
      </c>
      <c r="C272" s="335" t="s">
        <v>151</v>
      </c>
      <c r="D272" s="529">
        <v>376266494990</v>
      </c>
      <c r="E272" s="342">
        <v>350484</v>
      </c>
      <c r="G272" s="514">
        <f>11.39+32.87</f>
        <v>44.26</v>
      </c>
      <c r="H272" s="545">
        <v>2768214</v>
      </c>
      <c r="J272" s="513" t="s">
        <v>2038</v>
      </c>
    </row>
    <row r="273" spans="1:13" s="336" customFormat="1" x14ac:dyDescent="0.25">
      <c r="A273" s="530">
        <v>42767</v>
      </c>
      <c r="B273" s="335" t="s">
        <v>127</v>
      </c>
      <c r="C273" s="335" t="s">
        <v>151</v>
      </c>
      <c r="D273" s="529">
        <v>376268723990</v>
      </c>
      <c r="E273" s="545">
        <v>2762911</v>
      </c>
      <c r="G273" s="506">
        <f>24.37+50.97</f>
        <v>75.34</v>
      </c>
      <c r="H273" s="545">
        <v>2762911</v>
      </c>
      <c r="J273" s="521" t="s">
        <v>2043</v>
      </c>
      <c r="K273" s="521"/>
      <c r="L273" s="521"/>
      <c r="M273" s="521"/>
    </row>
    <row r="274" spans="1:13" s="336" customFormat="1" x14ac:dyDescent="0.25">
      <c r="A274" s="530">
        <v>42767</v>
      </c>
      <c r="B274" s="335" t="s">
        <v>127</v>
      </c>
      <c r="C274" s="335" t="s">
        <v>151</v>
      </c>
      <c r="D274" s="529">
        <v>376268723990</v>
      </c>
      <c r="E274" s="545">
        <v>2762911</v>
      </c>
      <c r="G274" s="506">
        <f>67.39+118.86</f>
        <v>186.25</v>
      </c>
      <c r="H274" s="545">
        <v>2764396</v>
      </c>
      <c r="J274" s="521" t="s">
        <v>2043</v>
      </c>
    </row>
    <row r="275" spans="1:13" s="336" customFormat="1" x14ac:dyDescent="0.25">
      <c r="A275" s="530">
        <v>42767</v>
      </c>
      <c r="B275" s="335" t="s">
        <v>127</v>
      </c>
      <c r="C275" s="335" t="s">
        <v>151</v>
      </c>
      <c r="D275" s="529">
        <v>376268723990</v>
      </c>
      <c r="E275" s="545">
        <v>2762911</v>
      </c>
      <c r="G275" s="506">
        <f>18.81+124.15</f>
        <v>142.96</v>
      </c>
      <c r="H275" s="545">
        <v>2766568</v>
      </c>
      <c r="J275" s="521" t="s">
        <v>2043</v>
      </c>
    </row>
    <row r="276" spans="1:13" s="336" customFormat="1" x14ac:dyDescent="0.25">
      <c r="A276" s="530">
        <v>42769</v>
      </c>
      <c r="B276" s="335" t="s">
        <v>127</v>
      </c>
      <c r="C276" s="335" t="s">
        <v>151</v>
      </c>
      <c r="D276" s="529">
        <v>376268723990</v>
      </c>
      <c r="E276" s="545">
        <v>2762911</v>
      </c>
      <c r="G276" s="506">
        <f>15.54+13.22</f>
        <v>28.759999999999998</v>
      </c>
      <c r="H276" s="545">
        <v>2769841</v>
      </c>
      <c r="J276" s="521" t="s">
        <v>2043</v>
      </c>
    </row>
    <row r="277" spans="1:13" s="562" customFormat="1" x14ac:dyDescent="0.25">
      <c r="A277" s="535">
        <v>42768</v>
      </c>
      <c r="B277" s="322" t="s">
        <v>127</v>
      </c>
      <c r="D277" s="392">
        <v>376274796998</v>
      </c>
      <c r="E277" s="550">
        <v>353024</v>
      </c>
      <c r="G277" s="515">
        <f>22.12+79.83</f>
        <v>101.95</v>
      </c>
      <c r="H277" s="532">
        <v>2765536</v>
      </c>
      <c r="J277" s="505" t="s">
        <v>2039</v>
      </c>
    </row>
    <row r="278" spans="1:13" s="562" customFormat="1" x14ac:dyDescent="0.25">
      <c r="A278" s="535">
        <v>42769</v>
      </c>
      <c r="B278" s="322" t="s">
        <v>127</v>
      </c>
      <c r="D278" s="392">
        <v>376274796998</v>
      </c>
      <c r="E278" s="550">
        <v>353024</v>
      </c>
      <c r="G278" s="515">
        <f>15.95+61.24</f>
        <v>77.19</v>
      </c>
      <c r="H278" s="532">
        <v>2771882</v>
      </c>
      <c r="J278" s="505" t="s">
        <v>2039</v>
      </c>
    </row>
    <row r="279" spans="1:13" s="562" customFormat="1" x14ac:dyDescent="0.25">
      <c r="A279" s="535">
        <v>42767</v>
      </c>
      <c r="B279" s="322" t="s">
        <v>127</v>
      </c>
      <c r="D279" s="392">
        <v>376270713997</v>
      </c>
      <c r="E279" s="532">
        <v>351215</v>
      </c>
      <c r="G279" s="515">
        <v>60</v>
      </c>
      <c r="H279" s="532">
        <v>2765094</v>
      </c>
      <c r="J279" s="505" t="s">
        <v>2039</v>
      </c>
    </row>
    <row r="280" spans="1:13" s="562" customFormat="1" x14ac:dyDescent="0.25">
      <c r="A280" s="535">
        <v>42768</v>
      </c>
      <c r="B280" s="322" t="s">
        <v>127</v>
      </c>
      <c r="D280" s="392">
        <v>376270713997</v>
      </c>
      <c r="E280" s="532">
        <v>351215</v>
      </c>
      <c r="G280" s="515">
        <v>63.75</v>
      </c>
      <c r="H280" s="532">
        <v>2763038</v>
      </c>
      <c r="J280" s="505" t="s">
        <v>2039</v>
      </c>
    </row>
    <row r="281" spans="1:13" s="562" customFormat="1" x14ac:dyDescent="0.25">
      <c r="A281" s="535">
        <v>42769</v>
      </c>
      <c r="B281" s="322" t="s">
        <v>127</v>
      </c>
      <c r="D281" s="392">
        <v>376270713997</v>
      </c>
      <c r="E281" s="532">
        <v>351215</v>
      </c>
      <c r="G281" s="515">
        <v>118.27</v>
      </c>
      <c r="H281" s="532">
        <v>2769185</v>
      </c>
      <c r="J281" s="505" t="s">
        <v>2039</v>
      </c>
    </row>
    <row r="282" spans="1:13" s="562" customFormat="1" x14ac:dyDescent="0.25">
      <c r="A282" s="535">
        <v>42769</v>
      </c>
      <c r="B282" s="322" t="s">
        <v>127</v>
      </c>
      <c r="D282" s="392">
        <v>376273575997</v>
      </c>
      <c r="E282" s="550">
        <v>352533</v>
      </c>
      <c r="G282" s="515">
        <f>38.25+124.49</f>
        <v>162.74</v>
      </c>
      <c r="H282" s="532">
        <v>2769168</v>
      </c>
      <c r="J282" s="504" t="s">
        <v>2040</v>
      </c>
    </row>
    <row r="283" spans="1:13" s="562" customFormat="1" x14ac:dyDescent="0.25">
      <c r="A283" s="535">
        <v>42769</v>
      </c>
      <c r="B283" s="322" t="s">
        <v>127</v>
      </c>
      <c r="D283" s="392">
        <v>376274747991</v>
      </c>
      <c r="E283" s="550">
        <v>352995</v>
      </c>
      <c r="G283" s="515">
        <f>24.04+93.51</f>
        <v>117.55000000000001</v>
      </c>
      <c r="H283" s="532">
        <v>2762284</v>
      </c>
      <c r="J283" s="504" t="s">
        <v>2040</v>
      </c>
    </row>
    <row r="284" spans="1:13" s="562" customFormat="1" x14ac:dyDescent="0.25">
      <c r="A284" s="535">
        <v>42767</v>
      </c>
      <c r="B284" s="322" t="s">
        <v>127</v>
      </c>
      <c r="D284" s="392">
        <v>376274559990</v>
      </c>
      <c r="E284" s="550">
        <v>352777</v>
      </c>
      <c r="G284" s="515">
        <f>20.12+75.7</f>
        <v>95.820000000000007</v>
      </c>
      <c r="H284" s="532">
        <v>2758486</v>
      </c>
      <c r="J284" s="505" t="s">
        <v>2041</v>
      </c>
    </row>
    <row r="285" spans="1:13" s="562" customFormat="1" x14ac:dyDescent="0.25">
      <c r="A285" s="535">
        <v>42767</v>
      </c>
      <c r="B285" s="322" t="s">
        <v>127</v>
      </c>
      <c r="D285" s="392">
        <v>376273856991</v>
      </c>
      <c r="E285" s="550">
        <v>352595</v>
      </c>
      <c r="G285" s="515">
        <f>10.96+79.95</f>
        <v>90.91</v>
      </c>
      <c r="H285" s="532">
        <v>2758811</v>
      </c>
      <c r="J285" s="504" t="s">
        <v>2040</v>
      </c>
    </row>
    <row r="286" spans="1:13" s="562" customFormat="1" x14ac:dyDescent="0.25">
      <c r="A286" s="535">
        <v>42767</v>
      </c>
      <c r="B286" s="322" t="s">
        <v>127</v>
      </c>
      <c r="D286" s="392">
        <v>376273445993</v>
      </c>
      <c r="E286" s="550">
        <v>352400</v>
      </c>
      <c r="G286" s="515">
        <f>23.17+62.73</f>
        <v>85.9</v>
      </c>
      <c r="H286" s="532">
        <v>2762404</v>
      </c>
      <c r="J286" s="504" t="s">
        <v>179</v>
      </c>
    </row>
    <row r="287" spans="1:13" s="562" customFormat="1" x14ac:dyDescent="0.25">
      <c r="A287" s="535">
        <v>42768</v>
      </c>
      <c r="B287" s="322" t="s">
        <v>127</v>
      </c>
      <c r="D287" s="392">
        <v>376215730999</v>
      </c>
      <c r="E287" s="550">
        <v>201508</v>
      </c>
      <c r="G287" s="515">
        <f>13.24+18.24</f>
        <v>31.479999999999997</v>
      </c>
      <c r="H287" s="532">
        <v>2765592</v>
      </c>
      <c r="J287" s="504" t="s">
        <v>179</v>
      </c>
    </row>
    <row r="288" spans="1:13" s="336" customFormat="1" x14ac:dyDescent="0.25">
      <c r="A288" s="525">
        <v>42769</v>
      </c>
      <c r="B288" s="335" t="s">
        <v>127</v>
      </c>
      <c r="C288" s="335" t="s">
        <v>151</v>
      </c>
      <c r="D288" s="529">
        <v>376268786997</v>
      </c>
      <c r="E288" s="398">
        <v>350875</v>
      </c>
      <c r="F288" s="342"/>
      <c r="G288" s="342">
        <f>31.84+7.33</f>
        <v>39.17</v>
      </c>
      <c r="H288" s="528">
        <v>2770507</v>
      </c>
      <c r="J288" s="513" t="s">
        <v>2042</v>
      </c>
    </row>
    <row r="289" spans="1:19" s="335" customFormat="1" x14ac:dyDescent="0.25">
      <c r="A289" s="547" t="s">
        <v>2022</v>
      </c>
      <c r="B289" s="335" t="s">
        <v>0</v>
      </c>
      <c r="C289" s="335" t="s">
        <v>238</v>
      </c>
      <c r="D289" s="529">
        <v>376274339997</v>
      </c>
      <c r="E289" s="545">
        <v>352815</v>
      </c>
      <c r="F289" s="354" t="s">
        <v>2105</v>
      </c>
      <c r="G289" s="545">
        <v>86.01</v>
      </c>
      <c r="H289" s="545">
        <v>2769593</v>
      </c>
      <c r="J289" s="545" t="s">
        <v>2100</v>
      </c>
    </row>
    <row r="290" spans="1:19" s="336" customFormat="1" x14ac:dyDescent="0.25">
      <c r="A290" s="547" t="s">
        <v>2045</v>
      </c>
      <c r="B290" s="335" t="s">
        <v>0</v>
      </c>
      <c r="C290" s="335" t="s">
        <v>238</v>
      </c>
      <c r="D290" s="516">
        <v>376266273998</v>
      </c>
      <c r="E290" s="545">
        <v>1126</v>
      </c>
      <c r="F290" s="545">
        <v>791358</v>
      </c>
      <c r="G290" s="545">
        <v>59.88</v>
      </c>
      <c r="H290" s="336">
        <v>2791358</v>
      </c>
      <c r="J290" s="545" t="s">
        <v>6</v>
      </c>
    </row>
    <row r="291" spans="1:19" s="336" customFormat="1" x14ac:dyDescent="0.25">
      <c r="A291" s="547" t="s">
        <v>2045</v>
      </c>
      <c r="B291" s="335" t="s">
        <v>0</v>
      </c>
      <c r="C291" s="335" t="s">
        <v>238</v>
      </c>
      <c r="D291" s="517" t="s">
        <v>1537</v>
      </c>
      <c r="E291" s="545">
        <v>350358</v>
      </c>
      <c r="F291" s="545">
        <v>788881</v>
      </c>
      <c r="G291" s="545">
        <v>64</v>
      </c>
      <c r="H291" s="336">
        <v>2788881</v>
      </c>
      <c r="J291" s="545" t="s">
        <v>2100</v>
      </c>
    </row>
    <row r="292" spans="1:19" s="336" customFormat="1" x14ac:dyDescent="0.25">
      <c r="A292" s="547" t="s">
        <v>2045</v>
      </c>
      <c r="B292" s="335" t="s">
        <v>0</v>
      </c>
      <c r="C292" s="335" t="s">
        <v>238</v>
      </c>
      <c r="D292" s="517" t="s">
        <v>240</v>
      </c>
      <c r="E292" s="545">
        <v>351520</v>
      </c>
      <c r="F292" s="545">
        <v>789387</v>
      </c>
      <c r="G292" s="545">
        <v>71.95</v>
      </c>
      <c r="H292" s="336">
        <v>2789387</v>
      </c>
      <c r="J292" s="545" t="s">
        <v>2100</v>
      </c>
    </row>
    <row r="293" spans="1:19" x14ac:dyDescent="0.25">
      <c r="A293" s="555" t="s">
        <v>2045</v>
      </c>
      <c r="B293" s="323" t="s">
        <v>0</v>
      </c>
      <c r="D293" s="511" t="s">
        <v>2047</v>
      </c>
      <c r="E293" s="553">
        <v>215661</v>
      </c>
      <c r="F293" s="553">
        <v>783986</v>
      </c>
      <c r="G293" s="401">
        <v>70.95</v>
      </c>
      <c r="H293" s="2">
        <v>2783986</v>
      </c>
      <c r="J293" s="553" t="s">
        <v>6</v>
      </c>
    </row>
    <row r="294" spans="1:19" s="336" customFormat="1" x14ac:dyDescent="0.25">
      <c r="A294" s="547" t="s">
        <v>2045</v>
      </c>
      <c r="B294" s="335" t="s">
        <v>0</v>
      </c>
      <c r="C294" s="335" t="s">
        <v>238</v>
      </c>
      <c r="D294" s="517" t="s">
        <v>2048</v>
      </c>
      <c r="E294" s="545">
        <v>225504</v>
      </c>
      <c r="F294" s="545">
        <v>785634</v>
      </c>
      <c r="G294" s="545">
        <v>91.95</v>
      </c>
      <c r="H294" s="336">
        <v>2785634</v>
      </c>
      <c r="J294" s="545" t="s">
        <v>2100</v>
      </c>
    </row>
    <row r="295" spans="1:19" s="336" customFormat="1" x14ac:dyDescent="0.25">
      <c r="A295" s="547" t="s">
        <v>2045</v>
      </c>
      <c r="B295" s="335" t="s">
        <v>0</v>
      </c>
      <c r="C295" s="335" t="s">
        <v>238</v>
      </c>
      <c r="D295" s="517" t="s">
        <v>271</v>
      </c>
      <c r="E295" s="545">
        <v>1082</v>
      </c>
      <c r="F295" s="545">
        <v>788861</v>
      </c>
      <c r="G295" s="545">
        <v>110.81</v>
      </c>
      <c r="H295" s="336">
        <v>2788861</v>
      </c>
      <c r="J295" s="545" t="s">
        <v>2100</v>
      </c>
    </row>
    <row r="296" spans="1:19" s="336" customFormat="1" x14ac:dyDescent="0.25">
      <c r="A296" s="547" t="s">
        <v>2045</v>
      </c>
      <c r="B296" s="335" t="s">
        <v>0</v>
      </c>
      <c r="C296" s="335" t="s">
        <v>238</v>
      </c>
      <c r="D296" s="517" t="s">
        <v>2049</v>
      </c>
      <c r="E296" s="545">
        <v>212048</v>
      </c>
      <c r="F296" s="545">
        <v>789820</v>
      </c>
      <c r="G296" s="545">
        <v>118</v>
      </c>
      <c r="H296" s="336">
        <v>2789820</v>
      </c>
      <c r="J296" s="545" t="s">
        <v>6</v>
      </c>
    </row>
    <row r="297" spans="1:19" s="336" customFormat="1" x14ac:dyDescent="0.25">
      <c r="A297" s="547" t="s">
        <v>2045</v>
      </c>
      <c r="B297" s="335" t="s">
        <v>0</v>
      </c>
      <c r="C297" s="335" t="s">
        <v>238</v>
      </c>
      <c r="D297" s="517" t="s">
        <v>2050</v>
      </c>
      <c r="E297" s="545">
        <v>352777</v>
      </c>
      <c r="F297" s="545">
        <v>793783</v>
      </c>
      <c r="G297" s="545">
        <v>88.95</v>
      </c>
      <c r="H297" s="336">
        <v>2879783</v>
      </c>
      <c r="J297" s="545" t="s">
        <v>2100</v>
      </c>
    </row>
    <row r="298" spans="1:19" x14ac:dyDescent="0.25">
      <c r="A298" s="535">
        <v>42771</v>
      </c>
      <c r="B298" s="322" t="s">
        <v>127</v>
      </c>
      <c r="C298" s="562"/>
      <c r="D298" s="392">
        <v>376273432991</v>
      </c>
      <c r="E298" s="550">
        <v>352397</v>
      </c>
      <c r="F298" s="562"/>
      <c r="G298" s="515">
        <f>12.69+67.41</f>
        <v>80.099999999999994</v>
      </c>
      <c r="H298" s="532">
        <v>2773604</v>
      </c>
      <c r="I298" s="562"/>
      <c r="J298" s="532" t="s">
        <v>2052</v>
      </c>
      <c r="K298" s="562"/>
      <c r="L298" s="562"/>
      <c r="M298" s="562"/>
      <c r="N298" s="562"/>
      <c r="O298" s="562"/>
      <c r="P298" s="562"/>
      <c r="Q298" s="562"/>
      <c r="R298" s="562"/>
      <c r="S298" s="562"/>
    </row>
    <row r="299" spans="1:19" x14ac:dyDescent="0.25">
      <c r="A299" s="535">
        <v>42772</v>
      </c>
      <c r="B299" s="322" t="s">
        <v>127</v>
      </c>
      <c r="C299" s="562"/>
      <c r="D299" s="392">
        <v>376273432991</v>
      </c>
      <c r="E299" s="550">
        <v>352397</v>
      </c>
      <c r="F299" s="562"/>
      <c r="G299" s="515">
        <f>94.84+124.19</f>
        <v>219.03</v>
      </c>
      <c r="H299" s="532">
        <v>2778950</v>
      </c>
      <c r="I299" s="562"/>
      <c r="J299" s="532" t="s">
        <v>2053</v>
      </c>
      <c r="K299" s="562"/>
      <c r="L299" s="562"/>
      <c r="M299" s="562"/>
      <c r="N299" s="562"/>
      <c r="O299" s="562"/>
      <c r="P299" s="562"/>
      <c r="Q299" s="562"/>
      <c r="R299" s="562"/>
      <c r="S299" s="562"/>
    </row>
    <row r="300" spans="1:19" x14ac:dyDescent="0.25">
      <c r="A300" s="535">
        <v>42771</v>
      </c>
      <c r="B300" s="322" t="s">
        <v>127</v>
      </c>
      <c r="C300" s="562"/>
      <c r="D300" s="392">
        <v>376273432991</v>
      </c>
      <c r="E300" s="532">
        <v>352397</v>
      </c>
      <c r="F300" s="562"/>
      <c r="G300" s="399">
        <f>12.69+67.41</f>
        <v>80.099999999999994</v>
      </c>
      <c r="H300" s="532">
        <v>2773604</v>
      </c>
      <c r="I300" s="562"/>
      <c r="J300" s="532" t="s">
        <v>2051</v>
      </c>
      <c r="K300" s="562"/>
      <c r="L300" s="562"/>
      <c r="M300" s="562"/>
      <c r="N300" s="562"/>
      <c r="O300" s="562"/>
      <c r="P300" s="562"/>
      <c r="Q300" s="562"/>
      <c r="R300" s="562"/>
      <c r="S300" s="562"/>
    </row>
    <row r="301" spans="1:19" x14ac:dyDescent="0.25">
      <c r="A301" s="535">
        <v>42772</v>
      </c>
      <c r="B301" s="322" t="s">
        <v>127</v>
      </c>
      <c r="C301" s="562"/>
      <c r="D301" s="392">
        <v>376273432991</v>
      </c>
      <c r="E301" s="532">
        <v>352397</v>
      </c>
      <c r="F301" s="562"/>
      <c r="G301" s="399">
        <f>94.84+124.19</f>
        <v>219.03</v>
      </c>
      <c r="H301" s="532">
        <v>2778950</v>
      </c>
      <c r="I301" s="562"/>
      <c r="J301" s="532" t="s">
        <v>2051</v>
      </c>
      <c r="K301" s="562"/>
      <c r="L301" s="562"/>
      <c r="M301" s="562"/>
      <c r="N301" s="562"/>
      <c r="O301" s="562"/>
      <c r="P301" s="562"/>
      <c r="Q301" s="562"/>
      <c r="R301" s="562"/>
      <c r="S301" s="562"/>
    </row>
    <row r="302" spans="1:19" x14ac:dyDescent="0.25">
      <c r="A302" s="535">
        <v>42774</v>
      </c>
      <c r="B302" s="322" t="s">
        <v>127</v>
      </c>
      <c r="C302" s="562"/>
      <c r="D302" s="392">
        <v>376270713997</v>
      </c>
      <c r="E302" s="532">
        <v>351215</v>
      </c>
      <c r="F302" s="562"/>
      <c r="G302" s="399">
        <v>67.430000000000007</v>
      </c>
      <c r="H302" s="532">
        <v>2776944</v>
      </c>
      <c r="I302" s="562"/>
      <c r="J302" s="532" t="s">
        <v>273</v>
      </c>
      <c r="K302" s="562"/>
      <c r="L302" s="562"/>
      <c r="M302" s="562"/>
      <c r="N302" s="562"/>
      <c r="O302" s="562"/>
      <c r="P302" s="562"/>
      <c r="Q302" s="562"/>
      <c r="R302" s="562"/>
      <c r="S302" s="562"/>
    </row>
    <row r="303" spans="1:19" x14ac:dyDescent="0.25">
      <c r="A303" s="535">
        <v>42774</v>
      </c>
      <c r="B303" s="322" t="s">
        <v>127</v>
      </c>
      <c r="C303" s="562"/>
      <c r="D303" s="392">
        <v>376270713997</v>
      </c>
      <c r="E303" s="532">
        <v>351215</v>
      </c>
      <c r="F303" s="562"/>
      <c r="G303" s="399">
        <v>-99</v>
      </c>
      <c r="H303" s="532">
        <v>2595789</v>
      </c>
      <c r="I303" s="562"/>
      <c r="J303" s="532" t="s">
        <v>273</v>
      </c>
      <c r="K303" s="562"/>
      <c r="L303" s="562"/>
      <c r="M303" s="562"/>
      <c r="N303" s="562"/>
      <c r="O303" s="562"/>
      <c r="P303" s="562"/>
      <c r="Q303" s="562"/>
      <c r="R303" s="562"/>
      <c r="S303" s="562"/>
    </row>
    <row r="304" spans="1:19" x14ac:dyDescent="0.25">
      <c r="A304" s="535">
        <v>42774</v>
      </c>
      <c r="B304" s="322" t="s">
        <v>127</v>
      </c>
      <c r="C304" s="562"/>
      <c r="D304" s="392">
        <v>376270713997</v>
      </c>
      <c r="E304" s="532">
        <v>351215</v>
      </c>
      <c r="F304" s="562"/>
      <c r="G304" s="399">
        <v>44.63</v>
      </c>
      <c r="H304" s="532">
        <v>2784409</v>
      </c>
      <c r="I304" s="562"/>
      <c r="J304" s="532" t="s">
        <v>273</v>
      </c>
      <c r="K304" s="562"/>
      <c r="L304" s="562"/>
      <c r="M304" s="562"/>
      <c r="N304" s="562"/>
      <c r="O304" s="562"/>
      <c r="P304" s="562"/>
      <c r="Q304" s="562"/>
      <c r="R304" s="562"/>
      <c r="S304" s="562"/>
    </row>
    <row r="305" spans="1:10" s="562" customFormat="1" x14ac:dyDescent="0.25">
      <c r="A305" s="535">
        <v>42774</v>
      </c>
      <c r="B305" s="322" t="s">
        <v>127</v>
      </c>
      <c r="D305" s="392">
        <v>376270713997</v>
      </c>
      <c r="E305" s="532">
        <v>351215</v>
      </c>
      <c r="G305" s="399">
        <v>244</v>
      </c>
      <c r="H305" s="532">
        <v>2789969</v>
      </c>
      <c r="J305" s="532" t="s">
        <v>273</v>
      </c>
    </row>
    <row r="306" spans="1:10" s="562" customFormat="1" x14ac:dyDescent="0.25">
      <c r="A306" s="535">
        <v>42774</v>
      </c>
      <c r="B306" s="322" t="s">
        <v>127</v>
      </c>
      <c r="D306" s="392">
        <v>376270713997</v>
      </c>
      <c r="E306" s="532">
        <v>351215</v>
      </c>
      <c r="G306" s="399">
        <v>32</v>
      </c>
      <c r="H306" s="532">
        <v>2789325</v>
      </c>
      <c r="J306" s="532" t="s">
        <v>273</v>
      </c>
    </row>
    <row r="307" spans="1:10" s="562" customFormat="1" x14ac:dyDescent="0.25">
      <c r="A307" s="535">
        <v>42774</v>
      </c>
      <c r="B307" s="322" t="s">
        <v>127</v>
      </c>
      <c r="D307" s="392">
        <v>376270713997</v>
      </c>
      <c r="E307" s="532">
        <v>351215</v>
      </c>
      <c r="G307" s="399">
        <v>82</v>
      </c>
      <c r="H307" s="532">
        <v>2795985</v>
      </c>
      <c r="J307" s="532" t="s">
        <v>273</v>
      </c>
    </row>
    <row r="308" spans="1:10" s="562" customFormat="1" x14ac:dyDescent="0.25">
      <c r="A308" s="535">
        <v>42772</v>
      </c>
      <c r="B308" s="322" t="s">
        <v>127</v>
      </c>
      <c r="D308" s="392">
        <v>376273433999</v>
      </c>
      <c r="E308" s="532">
        <v>352385</v>
      </c>
      <c r="G308" s="399">
        <f>25.27+61.12</f>
        <v>86.39</v>
      </c>
      <c r="H308" s="532">
        <v>2777623</v>
      </c>
      <c r="J308" s="532" t="s">
        <v>274</v>
      </c>
    </row>
    <row r="309" spans="1:10" s="562" customFormat="1" x14ac:dyDescent="0.25">
      <c r="A309" s="535">
        <v>42772</v>
      </c>
      <c r="B309" s="322" t="s">
        <v>127</v>
      </c>
      <c r="D309" s="392">
        <v>376273946990</v>
      </c>
      <c r="E309" s="532">
        <v>352564</v>
      </c>
      <c r="G309" s="399">
        <f>32.91+150.89</f>
        <v>183.79999999999998</v>
      </c>
      <c r="H309" s="532">
        <v>2777951</v>
      </c>
      <c r="J309" s="532" t="s">
        <v>2060</v>
      </c>
    </row>
    <row r="310" spans="1:10" s="336" customFormat="1" x14ac:dyDescent="0.25">
      <c r="A310" s="530">
        <v>42771</v>
      </c>
      <c r="B310" s="335" t="s">
        <v>127</v>
      </c>
      <c r="C310" s="335" t="s">
        <v>151</v>
      </c>
      <c r="D310" s="529">
        <v>376268723990</v>
      </c>
      <c r="E310" s="545">
        <v>350843</v>
      </c>
      <c r="G310" s="506">
        <f>22.66+74.68</f>
        <v>97.34</v>
      </c>
      <c r="H310" s="545">
        <v>2773576</v>
      </c>
      <c r="J310" s="513" t="s">
        <v>2054</v>
      </c>
    </row>
    <row r="311" spans="1:10" s="336" customFormat="1" x14ac:dyDescent="0.25">
      <c r="A311" s="530">
        <v>42771</v>
      </c>
      <c r="B311" s="335" t="s">
        <v>127</v>
      </c>
      <c r="C311" s="335" t="s">
        <v>151</v>
      </c>
      <c r="D311" s="529">
        <v>376268723990</v>
      </c>
      <c r="E311" s="545">
        <v>350843</v>
      </c>
      <c r="G311" s="506">
        <f>15.2+50.02</f>
        <v>65.22</v>
      </c>
      <c r="H311" s="545">
        <v>2774572</v>
      </c>
      <c r="J311" s="513" t="s">
        <v>2054</v>
      </c>
    </row>
    <row r="312" spans="1:10" s="336" customFormat="1" x14ac:dyDescent="0.25">
      <c r="A312" s="530">
        <v>42773</v>
      </c>
      <c r="B312" s="335" t="s">
        <v>127</v>
      </c>
      <c r="C312" s="335" t="s">
        <v>151</v>
      </c>
      <c r="D312" s="529">
        <v>376268723990</v>
      </c>
      <c r="E312" s="545">
        <v>350843</v>
      </c>
      <c r="G312" s="506">
        <f>10.46+53.95</f>
        <v>64.41</v>
      </c>
      <c r="H312" s="545">
        <v>2779079</v>
      </c>
      <c r="J312" s="513" t="s">
        <v>2054</v>
      </c>
    </row>
    <row r="313" spans="1:10" s="336" customFormat="1" x14ac:dyDescent="0.25">
      <c r="A313" s="530">
        <v>42773</v>
      </c>
      <c r="B313" s="335" t="s">
        <v>127</v>
      </c>
      <c r="C313" s="335" t="s">
        <v>151</v>
      </c>
      <c r="D313" s="529">
        <v>376268723990</v>
      </c>
      <c r="E313" s="545">
        <v>350843</v>
      </c>
      <c r="G313" s="506">
        <f>12.32+60.01</f>
        <v>72.33</v>
      </c>
      <c r="H313" s="545">
        <v>2780156</v>
      </c>
      <c r="J313" s="513" t="s">
        <v>2054</v>
      </c>
    </row>
    <row r="314" spans="1:10" s="336" customFormat="1" x14ac:dyDescent="0.25">
      <c r="A314" s="530">
        <v>39120</v>
      </c>
      <c r="B314" s="335" t="s">
        <v>127</v>
      </c>
      <c r="C314" s="335" t="s">
        <v>151</v>
      </c>
      <c r="D314" s="529">
        <v>376268723990</v>
      </c>
      <c r="E314" s="545">
        <v>350843</v>
      </c>
      <c r="G314" s="506">
        <f>17.59+57.97</f>
        <v>75.56</v>
      </c>
      <c r="H314" s="545">
        <v>2781186</v>
      </c>
      <c r="J314" s="513" t="s">
        <v>2054</v>
      </c>
    </row>
    <row r="315" spans="1:10" s="336" customFormat="1" x14ac:dyDescent="0.25">
      <c r="A315" s="530">
        <v>42774</v>
      </c>
      <c r="B315" s="335" t="s">
        <v>127</v>
      </c>
      <c r="C315" s="335" t="s">
        <v>151</v>
      </c>
      <c r="D315" s="529">
        <v>376268723990</v>
      </c>
      <c r="E315" s="545">
        <v>350843</v>
      </c>
      <c r="G315" s="506">
        <f>12.92+42.59</f>
        <v>55.510000000000005</v>
      </c>
      <c r="H315" s="545">
        <v>2786155</v>
      </c>
      <c r="J315" s="513" t="s">
        <v>2054</v>
      </c>
    </row>
    <row r="316" spans="1:10" s="336" customFormat="1" x14ac:dyDescent="0.25">
      <c r="A316" s="530">
        <v>42774</v>
      </c>
      <c r="B316" s="335" t="s">
        <v>127</v>
      </c>
      <c r="C316" s="335" t="s">
        <v>151</v>
      </c>
      <c r="D316" s="529">
        <v>376268723990</v>
      </c>
      <c r="E316" s="545">
        <v>350843</v>
      </c>
      <c r="G316" s="506">
        <f>41.64+61.67</f>
        <v>103.31</v>
      </c>
      <c r="H316" s="545">
        <v>2787095</v>
      </c>
      <c r="J316" s="513" t="s">
        <v>2054</v>
      </c>
    </row>
    <row r="317" spans="1:10" s="336" customFormat="1" x14ac:dyDescent="0.25">
      <c r="A317" s="530">
        <v>42776</v>
      </c>
      <c r="B317" s="335" t="s">
        <v>127</v>
      </c>
      <c r="C317" s="335" t="s">
        <v>151</v>
      </c>
      <c r="D317" s="529">
        <v>376268723990</v>
      </c>
      <c r="E317" s="545">
        <v>350843</v>
      </c>
      <c r="G317" s="506">
        <f>6.91+32.05</f>
        <v>38.959999999999994</v>
      </c>
      <c r="H317" s="545">
        <v>2792474</v>
      </c>
      <c r="J317" s="513" t="s">
        <v>2054</v>
      </c>
    </row>
    <row r="318" spans="1:10" s="336" customFormat="1" x14ac:dyDescent="0.25">
      <c r="A318" s="530">
        <v>42776</v>
      </c>
      <c r="B318" s="335" t="s">
        <v>127</v>
      </c>
      <c r="C318" s="335" t="s">
        <v>151</v>
      </c>
      <c r="D318" s="529">
        <v>376268723990</v>
      </c>
      <c r="E318" s="545">
        <v>350843</v>
      </c>
      <c r="G318" s="506">
        <f>17.22+9</f>
        <v>26.22</v>
      </c>
      <c r="H318" s="545">
        <v>2792610</v>
      </c>
      <c r="J318" s="513" t="s">
        <v>2054</v>
      </c>
    </row>
    <row r="319" spans="1:10" s="336" customFormat="1" x14ac:dyDescent="0.25">
      <c r="A319" s="530">
        <v>42772</v>
      </c>
      <c r="B319" s="335" t="s">
        <v>127</v>
      </c>
      <c r="C319" s="335" t="s">
        <v>151</v>
      </c>
      <c r="D319" s="529">
        <v>376268127994</v>
      </c>
      <c r="E319" s="545">
        <v>350776</v>
      </c>
      <c r="G319" s="506">
        <f>24.04+89.05</f>
        <v>113.09</v>
      </c>
      <c r="H319" s="545">
        <v>2775036</v>
      </c>
      <c r="J319" s="521" t="s">
        <v>2055</v>
      </c>
    </row>
    <row r="320" spans="1:10" s="336" customFormat="1" x14ac:dyDescent="0.25">
      <c r="A320" s="530">
        <v>42772</v>
      </c>
      <c r="B320" s="335" t="s">
        <v>127</v>
      </c>
      <c r="C320" s="335" t="s">
        <v>151</v>
      </c>
      <c r="D320" s="529">
        <v>376268127994</v>
      </c>
      <c r="E320" s="545">
        <v>350776</v>
      </c>
      <c r="G320" s="506">
        <f>14.96+53.95</f>
        <v>68.91</v>
      </c>
      <c r="H320" s="545">
        <v>2775206</v>
      </c>
      <c r="J320" s="521" t="s">
        <v>2055</v>
      </c>
    </row>
    <row r="321" spans="1:10" s="336" customFormat="1" x14ac:dyDescent="0.25">
      <c r="A321" s="530">
        <v>42774</v>
      </c>
      <c r="B321" s="335" t="s">
        <v>127</v>
      </c>
      <c r="C321" s="335" t="s">
        <v>151</v>
      </c>
      <c r="D321" s="529">
        <v>376268127994</v>
      </c>
      <c r="E321" s="545">
        <v>350776</v>
      </c>
      <c r="G321" s="506">
        <f>16.98+61.63</f>
        <v>78.61</v>
      </c>
      <c r="H321" s="545">
        <v>2757624</v>
      </c>
      <c r="J321" s="521" t="s">
        <v>2055</v>
      </c>
    </row>
    <row r="322" spans="1:10" s="336" customFormat="1" x14ac:dyDescent="0.25">
      <c r="A322" s="530">
        <v>42775</v>
      </c>
      <c r="B322" s="335" t="s">
        <v>127</v>
      </c>
      <c r="C322" s="335" t="s">
        <v>151</v>
      </c>
      <c r="D322" s="529">
        <v>376268127994</v>
      </c>
      <c r="E322" s="545">
        <v>350776</v>
      </c>
      <c r="G322" s="506">
        <f>29.22+99.98</f>
        <v>129.19999999999999</v>
      </c>
      <c r="H322" s="545">
        <v>2783817</v>
      </c>
      <c r="J322" s="521" t="s">
        <v>2055</v>
      </c>
    </row>
    <row r="323" spans="1:10" s="336" customFormat="1" x14ac:dyDescent="0.25">
      <c r="A323" s="530">
        <v>42775</v>
      </c>
      <c r="B323" s="335" t="s">
        <v>127</v>
      </c>
      <c r="C323" s="335" t="s">
        <v>151</v>
      </c>
      <c r="D323" s="529">
        <v>376268127994</v>
      </c>
      <c r="E323" s="545">
        <v>350776</v>
      </c>
      <c r="G323" s="506">
        <f>6.36+26.93</f>
        <v>33.29</v>
      </c>
      <c r="H323" s="545">
        <v>2788146</v>
      </c>
      <c r="J323" s="521" t="s">
        <v>2055</v>
      </c>
    </row>
    <row r="324" spans="1:10" s="336" customFormat="1" x14ac:dyDescent="0.25">
      <c r="A324" s="530">
        <v>42775</v>
      </c>
      <c r="B324" s="335" t="s">
        <v>127</v>
      </c>
      <c r="C324" s="335" t="s">
        <v>151</v>
      </c>
      <c r="D324" s="529">
        <v>376268127994</v>
      </c>
      <c r="E324" s="545">
        <v>350776</v>
      </c>
      <c r="G324" s="506">
        <f>14.8+9.92</f>
        <v>24.72</v>
      </c>
      <c r="H324" s="545">
        <v>2789088</v>
      </c>
      <c r="J324" s="521" t="s">
        <v>2055</v>
      </c>
    </row>
    <row r="325" spans="1:10" s="336" customFormat="1" x14ac:dyDescent="0.25">
      <c r="A325" s="530">
        <v>42776</v>
      </c>
      <c r="B325" s="335" t="s">
        <v>127</v>
      </c>
      <c r="C325" s="335" t="s">
        <v>151</v>
      </c>
      <c r="D325" s="529">
        <v>376268127994</v>
      </c>
      <c r="E325" s="545">
        <v>350776</v>
      </c>
      <c r="G325" s="506">
        <f>17.07+80.95</f>
        <v>98.02000000000001</v>
      </c>
      <c r="H325" s="545">
        <v>2790745</v>
      </c>
      <c r="J325" s="521" t="s">
        <v>2055</v>
      </c>
    </row>
    <row r="326" spans="1:10" s="562" customFormat="1" x14ac:dyDescent="0.25">
      <c r="A326" s="535">
        <v>42772</v>
      </c>
      <c r="B326" s="322" t="s">
        <v>127</v>
      </c>
      <c r="C326" s="322"/>
      <c r="D326" s="392">
        <v>376273652994</v>
      </c>
      <c r="E326" s="550">
        <v>352514</v>
      </c>
      <c r="G326" s="515">
        <f>24.95+75.45</f>
        <v>100.4</v>
      </c>
      <c r="H326" s="532">
        <v>2773080</v>
      </c>
      <c r="J326" s="532" t="s">
        <v>2061</v>
      </c>
    </row>
    <row r="327" spans="1:10" s="562" customFormat="1" x14ac:dyDescent="0.25">
      <c r="A327" s="535">
        <v>42772</v>
      </c>
      <c r="B327" s="322" t="s">
        <v>127</v>
      </c>
      <c r="C327" s="322"/>
      <c r="D327" s="392">
        <v>376273856991</v>
      </c>
      <c r="E327" s="550">
        <v>352595</v>
      </c>
      <c r="G327" s="399">
        <f>9.87+76.08</f>
        <v>85.95</v>
      </c>
      <c r="H327" s="532">
        <v>2777079</v>
      </c>
      <c r="J327" s="532" t="s">
        <v>2061</v>
      </c>
    </row>
    <row r="328" spans="1:10" s="562" customFormat="1" x14ac:dyDescent="0.25">
      <c r="A328" s="535">
        <v>42767</v>
      </c>
      <c r="B328" s="322" t="s">
        <v>127</v>
      </c>
      <c r="C328" s="322"/>
      <c r="D328" s="392">
        <v>376274747991</v>
      </c>
      <c r="E328" s="550">
        <v>352995</v>
      </c>
      <c r="G328" s="399">
        <f>11.63+72.8</f>
        <v>84.429999999999993</v>
      </c>
      <c r="H328" s="532">
        <v>2778368</v>
      </c>
      <c r="J328" s="532" t="s">
        <v>2061</v>
      </c>
    </row>
    <row r="329" spans="1:10" s="336" customFormat="1" x14ac:dyDescent="0.25">
      <c r="A329" s="530">
        <v>42772</v>
      </c>
      <c r="B329" s="335" t="s">
        <v>127</v>
      </c>
      <c r="C329" s="335" t="s">
        <v>151</v>
      </c>
      <c r="D329" s="529">
        <v>376266494990</v>
      </c>
      <c r="E329" s="342">
        <v>350484</v>
      </c>
      <c r="G329" s="506">
        <f>48.78+132.58</f>
        <v>181.36</v>
      </c>
      <c r="H329" s="545">
        <v>2777937</v>
      </c>
      <c r="J329" s="513" t="s">
        <v>2056</v>
      </c>
    </row>
    <row r="330" spans="1:10" s="336" customFormat="1" x14ac:dyDescent="0.25">
      <c r="A330" s="530">
        <v>42775</v>
      </c>
      <c r="B330" s="335" t="s">
        <v>127</v>
      </c>
      <c r="C330" s="335" t="s">
        <v>151</v>
      </c>
      <c r="D330" s="529">
        <v>376266494990</v>
      </c>
      <c r="E330" s="342">
        <v>350484</v>
      </c>
      <c r="G330" s="506">
        <f>23.32+48.27</f>
        <v>71.59</v>
      </c>
      <c r="H330" s="545">
        <v>2786856</v>
      </c>
      <c r="J330" s="513" t="s">
        <v>2056</v>
      </c>
    </row>
    <row r="331" spans="1:10" s="562" customFormat="1" x14ac:dyDescent="0.25">
      <c r="A331" s="535">
        <v>42775</v>
      </c>
      <c r="B331" s="322" t="s">
        <v>127</v>
      </c>
      <c r="C331" s="322"/>
      <c r="D331" s="392">
        <v>376274749997</v>
      </c>
      <c r="E331" s="550">
        <v>353000</v>
      </c>
      <c r="G331" s="399">
        <f>39.93+31.58</f>
        <v>71.509999999999991</v>
      </c>
      <c r="H331" s="532">
        <v>2789912</v>
      </c>
      <c r="J331" s="532" t="s">
        <v>274</v>
      </c>
    </row>
    <row r="332" spans="1:10" s="336" customFormat="1" x14ac:dyDescent="0.25">
      <c r="A332" s="530">
        <v>42776</v>
      </c>
      <c r="B332" s="335" t="s">
        <v>127</v>
      </c>
      <c r="C332" s="335" t="s">
        <v>151</v>
      </c>
      <c r="D332" s="529">
        <v>376212827996</v>
      </c>
      <c r="E332" s="342">
        <v>223720</v>
      </c>
      <c r="G332" s="506">
        <f>8.99+61.74</f>
        <v>70.73</v>
      </c>
      <c r="H332" s="545">
        <v>2792245</v>
      </c>
      <c r="J332" s="545" t="s">
        <v>2101</v>
      </c>
    </row>
    <row r="333" spans="1:10" s="562" customFormat="1" x14ac:dyDescent="0.25">
      <c r="A333" s="535">
        <v>42773</v>
      </c>
      <c r="B333" s="322" t="s">
        <v>127</v>
      </c>
      <c r="C333" s="322"/>
      <c r="D333" s="392">
        <v>376274796998</v>
      </c>
      <c r="E333" s="550">
        <v>353024</v>
      </c>
      <c r="G333" s="399">
        <f>6.64+63.87</f>
        <v>70.509999999999991</v>
      </c>
      <c r="H333" s="532">
        <v>2773462</v>
      </c>
      <c r="J333" s="532" t="s">
        <v>274</v>
      </c>
    </row>
    <row r="334" spans="1:10" s="562" customFormat="1" x14ac:dyDescent="0.25">
      <c r="A334" s="535">
        <v>42774</v>
      </c>
      <c r="B334" s="322" t="s">
        <v>127</v>
      </c>
      <c r="C334" s="322"/>
      <c r="D334" s="392">
        <v>376273730998</v>
      </c>
      <c r="E334" s="550">
        <v>352638</v>
      </c>
      <c r="G334" s="399">
        <f>14.8+49.03</f>
        <v>63.83</v>
      </c>
      <c r="H334" s="532">
        <v>2783911</v>
      </c>
      <c r="J334" s="532" t="s">
        <v>2061</v>
      </c>
    </row>
    <row r="335" spans="1:10" s="562" customFormat="1" x14ac:dyDescent="0.25">
      <c r="A335" s="535">
        <v>42775</v>
      </c>
      <c r="B335" s="322" t="s">
        <v>127</v>
      </c>
      <c r="C335" s="322"/>
      <c r="D335" s="392">
        <v>376274475999</v>
      </c>
      <c r="E335" s="550">
        <v>352831</v>
      </c>
      <c r="G335" s="515">
        <f>36.25+23.9</f>
        <v>60.15</v>
      </c>
      <c r="H335" s="532">
        <v>2789928</v>
      </c>
      <c r="J335" s="532" t="s">
        <v>2061</v>
      </c>
    </row>
    <row r="336" spans="1:10" s="562" customFormat="1" x14ac:dyDescent="0.25">
      <c r="A336" s="535">
        <v>42774</v>
      </c>
      <c r="B336" s="322" t="s">
        <v>127</v>
      </c>
      <c r="C336" s="322"/>
      <c r="D336" s="392">
        <v>376214535993</v>
      </c>
      <c r="E336" s="550">
        <v>2785174</v>
      </c>
      <c r="G336" s="399">
        <f>11.43+21.52</f>
        <v>32.950000000000003</v>
      </c>
      <c r="H336" s="532">
        <v>2785174</v>
      </c>
      <c r="J336" s="532" t="s">
        <v>274</v>
      </c>
    </row>
    <row r="337" spans="1:10" s="336" customFormat="1" x14ac:dyDescent="0.25">
      <c r="A337" s="530">
        <v>42773</v>
      </c>
      <c r="B337" s="335" t="s">
        <v>127</v>
      </c>
      <c r="C337" s="335" t="s">
        <v>151</v>
      </c>
      <c r="D337" s="529">
        <v>376271092995</v>
      </c>
      <c r="E337" s="342">
        <v>351307</v>
      </c>
      <c r="G337" s="506">
        <f>2.59+28.36</f>
        <v>30.95</v>
      </c>
      <c r="H337" s="545">
        <v>2781156</v>
      </c>
      <c r="J337" s="521" t="s">
        <v>2057</v>
      </c>
    </row>
    <row r="338" spans="1:10" s="336" customFormat="1" x14ac:dyDescent="0.25">
      <c r="A338" s="530">
        <v>42774</v>
      </c>
      <c r="B338" s="335" t="s">
        <v>127</v>
      </c>
      <c r="C338" s="335" t="s">
        <v>151</v>
      </c>
      <c r="D338" s="529">
        <v>376271092995</v>
      </c>
      <c r="E338" s="342">
        <v>351307</v>
      </c>
      <c r="G338" s="506">
        <f>7.55+48.41</f>
        <v>55.959999999999994</v>
      </c>
      <c r="H338" s="545">
        <v>2779023</v>
      </c>
      <c r="J338" s="521" t="s">
        <v>2057</v>
      </c>
    </row>
    <row r="339" spans="1:10" s="336" customFormat="1" x14ac:dyDescent="0.25">
      <c r="A339" s="530">
        <v>42775</v>
      </c>
      <c r="B339" s="335" t="s">
        <v>127</v>
      </c>
      <c r="C339" s="335" t="s">
        <v>151</v>
      </c>
      <c r="D339" s="529">
        <v>376268786997</v>
      </c>
      <c r="E339" s="342">
        <v>350875</v>
      </c>
      <c r="G339" s="506">
        <f>17.23+39.96</f>
        <v>57.19</v>
      </c>
      <c r="H339" s="545">
        <v>2790010</v>
      </c>
      <c r="J339" s="521" t="s">
        <v>2058</v>
      </c>
    </row>
    <row r="340" spans="1:10" s="562" customFormat="1" x14ac:dyDescent="0.25">
      <c r="A340" s="535">
        <v>42773</v>
      </c>
      <c r="B340" s="322" t="s">
        <v>127</v>
      </c>
      <c r="D340" s="392">
        <v>376274559990</v>
      </c>
      <c r="E340" s="550">
        <v>352777</v>
      </c>
      <c r="G340" s="399">
        <f>16.36+37.12</f>
        <v>53.48</v>
      </c>
      <c r="H340" s="532">
        <v>2783160</v>
      </c>
      <c r="J340" s="532" t="s">
        <v>2051</v>
      </c>
    </row>
    <row r="341" spans="1:10" s="562" customFormat="1" x14ac:dyDescent="0.25">
      <c r="A341" s="535">
        <v>42772</v>
      </c>
      <c r="B341" s="322" t="s">
        <v>127</v>
      </c>
      <c r="D341" s="392">
        <v>376273445993</v>
      </c>
      <c r="E341" s="550">
        <v>352400</v>
      </c>
      <c r="G341" s="399">
        <f>60.58+209.32</f>
        <v>269.89999999999998</v>
      </c>
      <c r="H341" s="532">
        <v>2775605</v>
      </c>
      <c r="J341" s="532" t="s">
        <v>2059</v>
      </c>
    </row>
    <row r="342" spans="1:10" s="336" customFormat="1" x14ac:dyDescent="0.25">
      <c r="A342" s="547" t="s">
        <v>2045</v>
      </c>
      <c r="B342" s="336" t="s">
        <v>0</v>
      </c>
      <c r="C342" s="335" t="s">
        <v>238</v>
      </c>
      <c r="D342" s="517" t="s">
        <v>2046</v>
      </c>
      <c r="E342" s="545">
        <v>351274</v>
      </c>
      <c r="F342" s="342">
        <v>791410</v>
      </c>
      <c r="G342" s="399">
        <v>67.48</v>
      </c>
      <c r="J342" s="545" t="s">
        <v>2102</v>
      </c>
    </row>
    <row r="343" spans="1:10" s="336" customFormat="1" x14ac:dyDescent="0.25">
      <c r="A343" s="503">
        <v>42780</v>
      </c>
      <c r="B343" s="335" t="s">
        <v>127</v>
      </c>
      <c r="C343" s="335" t="s">
        <v>151</v>
      </c>
      <c r="D343" s="517" t="s">
        <v>212</v>
      </c>
      <c r="E343" s="396">
        <v>350843</v>
      </c>
      <c r="F343" s="395"/>
      <c r="G343" s="506">
        <f>48.54+35.28</f>
        <v>83.82</v>
      </c>
      <c r="H343" s="545">
        <v>2802949</v>
      </c>
      <c r="J343" s="513" t="s">
        <v>2063</v>
      </c>
    </row>
    <row r="344" spans="1:10" s="336" customFormat="1" x14ac:dyDescent="0.25">
      <c r="A344" s="530">
        <v>42780</v>
      </c>
      <c r="B344" s="335" t="s">
        <v>127</v>
      </c>
      <c r="C344" s="335" t="s">
        <v>151</v>
      </c>
      <c r="D344" s="517" t="s">
        <v>212</v>
      </c>
      <c r="E344" s="396">
        <v>350843</v>
      </c>
      <c r="F344" s="395"/>
      <c r="G344" s="506">
        <f>38.37+79.96</f>
        <v>118.32999999999998</v>
      </c>
      <c r="H344" s="396">
        <v>2780211</v>
      </c>
      <c r="J344" s="513" t="s">
        <v>2063</v>
      </c>
    </row>
    <row r="345" spans="1:10" s="336" customFormat="1" x14ac:dyDescent="0.25">
      <c r="A345" s="530">
        <v>42781</v>
      </c>
      <c r="B345" s="335" t="s">
        <v>127</v>
      </c>
      <c r="C345" s="335" t="s">
        <v>151</v>
      </c>
      <c r="D345" s="517" t="s">
        <v>212</v>
      </c>
      <c r="E345" s="396">
        <v>350843</v>
      </c>
      <c r="F345" s="395"/>
      <c r="G345" s="506">
        <f>22.36+53.11</f>
        <v>75.47</v>
      </c>
      <c r="H345" s="396">
        <v>2801809</v>
      </c>
      <c r="J345" s="513" t="s">
        <v>2063</v>
      </c>
    </row>
    <row r="346" spans="1:10" s="336" customFormat="1" ht="22.35" customHeight="1" x14ac:dyDescent="0.25">
      <c r="A346" s="530">
        <v>42781</v>
      </c>
      <c r="B346" s="335" t="s">
        <v>127</v>
      </c>
      <c r="C346" s="335" t="s">
        <v>151</v>
      </c>
      <c r="D346" s="517" t="s">
        <v>212</v>
      </c>
      <c r="E346" s="396">
        <v>350843</v>
      </c>
      <c r="F346" s="394"/>
      <c r="G346" s="514">
        <f>122.42+20.5</f>
        <v>142.92000000000002</v>
      </c>
      <c r="H346" s="396">
        <v>2802153</v>
      </c>
      <c r="J346" s="513" t="s">
        <v>2063</v>
      </c>
    </row>
    <row r="347" spans="1:10" s="336" customFormat="1" x14ac:dyDescent="0.25">
      <c r="A347" s="530">
        <v>42781</v>
      </c>
      <c r="B347" s="335" t="s">
        <v>127</v>
      </c>
      <c r="C347" s="335" t="s">
        <v>151</v>
      </c>
      <c r="D347" s="517" t="s">
        <v>212</v>
      </c>
      <c r="E347" s="396">
        <v>350843</v>
      </c>
      <c r="F347" s="394"/>
      <c r="G347" s="514">
        <f>189.15+62.84</f>
        <v>251.99</v>
      </c>
      <c r="H347" s="396">
        <v>2804897</v>
      </c>
      <c r="J347" s="513" t="s">
        <v>2063</v>
      </c>
    </row>
    <row r="348" spans="1:10" s="336" customFormat="1" x14ac:dyDescent="0.25">
      <c r="A348" s="530">
        <v>42781</v>
      </c>
      <c r="B348" s="335" t="s">
        <v>127</v>
      </c>
      <c r="C348" s="335" t="s">
        <v>151</v>
      </c>
      <c r="D348" s="517" t="s">
        <v>212</v>
      </c>
      <c r="E348" s="396">
        <v>350843</v>
      </c>
      <c r="F348" s="394"/>
      <c r="G348" s="514">
        <f>10.68+66.36</f>
        <v>77.039999999999992</v>
      </c>
      <c r="H348" s="396">
        <v>2807005</v>
      </c>
      <c r="J348" s="513" t="s">
        <v>2063</v>
      </c>
    </row>
    <row r="349" spans="1:10" s="336" customFormat="1" x14ac:dyDescent="0.25">
      <c r="A349" s="530">
        <v>42781</v>
      </c>
      <c r="B349" s="335" t="s">
        <v>127</v>
      </c>
      <c r="C349" s="335" t="s">
        <v>151</v>
      </c>
      <c r="D349" s="517" t="s">
        <v>212</v>
      </c>
      <c r="E349" s="396">
        <v>350843</v>
      </c>
      <c r="F349" s="394"/>
      <c r="G349" s="514">
        <f>10.68+66.36</f>
        <v>77.039999999999992</v>
      </c>
      <c r="H349" s="396">
        <v>2807912</v>
      </c>
      <c r="J349" s="513" t="s">
        <v>2063</v>
      </c>
    </row>
    <row r="350" spans="1:10" s="336" customFormat="1" x14ac:dyDescent="0.25">
      <c r="A350" s="530">
        <v>42781</v>
      </c>
      <c r="B350" s="335" t="s">
        <v>127</v>
      </c>
      <c r="C350" s="335" t="s">
        <v>151</v>
      </c>
      <c r="D350" s="517" t="s">
        <v>212</v>
      </c>
      <c r="E350" s="396">
        <v>350843</v>
      </c>
      <c r="F350" s="394"/>
      <c r="G350" s="506">
        <f>16.66+24.49</f>
        <v>41.15</v>
      </c>
      <c r="H350" s="396">
        <v>2805662</v>
      </c>
      <c r="J350" s="513" t="s">
        <v>2063</v>
      </c>
    </row>
    <row r="351" spans="1:10" s="336" customFormat="1" x14ac:dyDescent="0.25">
      <c r="A351" s="393">
        <v>42782</v>
      </c>
      <c r="B351" s="335" t="s">
        <v>127</v>
      </c>
      <c r="C351" s="335" t="s">
        <v>151</v>
      </c>
      <c r="D351" s="517" t="s">
        <v>212</v>
      </c>
      <c r="E351" s="396">
        <v>350843</v>
      </c>
      <c r="F351" s="394"/>
      <c r="G351" s="506">
        <f>77.98+153.39</f>
        <v>231.37</v>
      </c>
      <c r="H351" s="396">
        <v>2798804</v>
      </c>
      <c r="J351" s="513" t="s">
        <v>2063</v>
      </c>
    </row>
    <row r="352" spans="1:10" s="336" customFormat="1" x14ac:dyDescent="0.25">
      <c r="A352" s="393">
        <v>42782</v>
      </c>
      <c r="B352" s="335" t="s">
        <v>127</v>
      </c>
      <c r="C352" s="335" t="s">
        <v>151</v>
      </c>
      <c r="D352" s="517" t="s">
        <v>212</v>
      </c>
      <c r="E352" s="396">
        <v>350843</v>
      </c>
      <c r="F352" s="394"/>
      <c r="G352" s="506">
        <f>74.95+36.27</f>
        <v>111.22</v>
      </c>
      <c r="H352" s="396">
        <v>2813015</v>
      </c>
      <c r="J352" s="513" t="s">
        <v>2063</v>
      </c>
    </row>
    <row r="353" spans="1:10" s="336" customFormat="1" x14ac:dyDescent="0.25">
      <c r="A353" s="393">
        <v>42782</v>
      </c>
      <c r="B353" s="335" t="s">
        <v>127</v>
      </c>
      <c r="C353" s="335" t="s">
        <v>151</v>
      </c>
      <c r="D353" s="517" t="s">
        <v>212</v>
      </c>
      <c r="E353" s="396">
        <v>350843</v>
      </c>
      <c r="F353" s="394"/>
      <c r="G353" s="506">
        <f>29.47+90.05</f>
        <v>119.52</v>
      </c>
      <c r="H353" s="396">
        <v>2811687</v>
      </c>
      <c r="J353" s="513" t="s">
        <v>2063</v>
      </c>
    </row>
    <row r="354" spans="1:10" s="336" customFormat="1" x14ac:dyDescent="0.25">
      <c r="A354" s="393">
        <v>42783</v>
      </c>
      <c r="B354" s="335" t="s">
        <v>127</v>
      </c>
      <c r="C354" s="335" t="s">
        <v>151</v>
      </c>
      <c r="D354" s="517" t="s">
        <v>212</v>
      </c>
      <c r="E354" s="396">
        <v>350843</v>
      </c>
      <c r="F354" s="394"/>
      <c r="G354" s="506">
        <f>12.26+69.63</f>
        <v>81.89</v>
      </c>
      <c r="H354" s="396">
        <v>2814356</v>
      </c>
      <c r="J354" s="513" t="s">
        <v>2063</v>
      </c>
    </row>
    <row r="355" spans="1:10" ht="14.85" customHeight="1" x14ac:dyDescent="0.25">
      <c r="A355" s="397">
        <v>42779</v>
      </c>
      <c r="B355" s="323" t="s">
        <v>127</v>
      </c>
      <c r="D355" s="402" t="s">
        <v>181</v>
      </c>
      <c r="E355" s="502">
        <v>351215</v>
      </c>
      <c r="F355" s="501"/>
      <c r="G355" s="502">
        <v>36.58</v>
      </c>
      <c r="H355" s="502">
        <v>2794425</v>
      </c>
      <c r="J355" s="500" t="s">
        <v>2041</v>
      </c>
    </row>
    <row r="356" spans="1:10" ht="14.85" customHeight="1" x14ac:dyDescent="0.25">
      <c r="A356" s="397">
        <v>42780</v>
      </c>
      <c r="B356" s="323" t="s">
        <v>127</v>
      </c>
      <c r="D356" s="402" t="s">
        <v>181</v>
      </c>
      <c r="E356" s="502">
        <v>351215</v>
      </c>
      <c r="F356" s="501"/>
      <c r="G356" s="499">
        <v>41.56</v>
      </c>
      <c r="H356" s="502">
        <v>2794595</v>
      </c>
      <c r="J356" s="500" t="s">
        <v>2041</v>
      </c>
    </row>
    <row r="357" spans="1:10" ht="14.85" customHeight="1" x14ac:dyDescent="0.25">
      <c r="A357" s="397">
        <v>42782</v>
      </c>
      <c r="B357" s="323" t="s">
        <v>127</v>
      </c>
      <c r="D357" s="402" t="s">
        <v>181</v>
      </c>
      <c r="E357" s="502">
        <v>351215</v>
      </c>
      <c r="F357" s="501"/>
      <c r="G357" s="499">
        <v>264.74</v>
      </c>
      <c r="H357" s="502">
        <v>2808506</v>
      </c>
      <c r="J357" s="500" t="s">
        <v>2041</v>
      </c>
    </row>
    <row r="358" spans="1:10" ht="14.85" customHeight="1" x14ac:dyDescent="0.25">
      <c r="A358" s="397">
        <v>42783</v>
      </c>
      <c r="B358" s="323" t="s">
        <v>127</v>
      </c>
      <c r="D358" s="402" t="s">
        <v>181</v>
      </c>
      <c r="E358" s="502">
        <v>351215</v>
      </c>
      <c r="F358" s="501"/>
      <c r="G358" s="502">
        <v>75.98</v>
      </c>
      <c r="H358" s="502">
        <v>2814338</v>
      </c>
      <c r="J358" s="500" t="s">
        <v>2041</v>
      </c>
    </row>
    <row r="359" spans="1:10" s="336" customFormat="1" x14ac:dyDescent="0.25">
      <c r="A359" s="393">
        <v>42779</v>
      </c>
      <c r="B359" s="335" t="s">
        <v>127</v>
      </c>
      <c r="C359" s="335" t="s">
        <v>151</v>
      </c>
      <c r="D359" s="498" t="s">
        <v>243</v>
      </c>
      <c r="E359" s="396">
        <v>350484</v>
      </c>
      <c r="F359" s="394"/>
      <c r="G359" s="497">
        <f>35.36+7.84</f>
        <v>43.2</v>
      </c>
      <c r="H359" s="396">
        <v>2799227</v>
      </c>
      <c r="J359" s="496" t="s">
        <v>2064</v>
      </c>
    </row>
    <row r="360" spans="1:10" s="336" customFormat="1" x14ac:dyDescent="0.25">
      <c r="A360" s="393">
        <v>42781</v>
      </c>
      <c r="B360" s="335" t="s">
        <v>127</v>
      </c>
      <c r="C360" s="335" t="s">
        <v>151</v>
      </c>
      <c r="D360" s="498" t="s">
        <v>243</v>
      </c>
      <c r="E360" s="396">
        <v>350484</v>
      </c>
      <c r="F360" s="394"/>
      <c r="G360" s="497">
        <f>61.08+28.49</f>
        <v>89.57</v>
      </c>
      <c r="H360" s="396">
        <v>2805474</v>
      </c>
      <c r="J360" s="496" t="s">
        <v>2064</v>
      </c>
    </row>
    <row r="361" spans="1:10" s="336" customFormat="1" x14ac:dyDescent="0.25">
      <c r="A361" s="393">
        <v>42782</v>
      </c>
      <c r="B361" s="335" t="s">
        <v>127</v>
      </c>
      <c r="C361" s="335" t="s">
        <v>151</v>
      </c>
      <c r="D361" s="498" t="s">
        <v>243</v>
      </c>
      <c r="E361" s="396">
        <v>350484</v>
      </c>
      <c r="F361" s="394"/>
      <c r="G361" s="497">
        <f>103.05+29.83</f>
        <v>132.88</v>
      </c>
      <c r="H361" s="396">
        <v>2812385</v>
      </c>
      <c r="J361" s="496" t="s">
        <v>2064</v>
      </c>
    </row>
    <row r="362" spans="1:10" s="336" customFormat="1" x14ac:dyDescent="0.25">
      <c r="A362" s="393">
        <v>42779</v>
      </c>
      <c r="B362" s="335" t="s">
        <v>127</v>
      </c>
      <c r="C362" s="335" t="s">
        <v>151</v>
      </c>
      <c r="D362" s="498" t="s">
        <v>213</v>
      </c>
      <c r="E362" s="396">
        <v>350776</v>
      </c>
      <c r="F362" s="394"/>
      <c r="G362" s="497">
        <f>48.66+174.3</f>
        <v>222.96</v>
      </c>
      <c r="H362" s="396">
        <v>2797264</v>
      </c>
      <c r="J362" s="496" t="s">
        <v>2065</v>
      </c>
    </row>
    <row r="363" spans="1:10" s="336" customFormat="1" x14ac:dyDescent="0.25">
      <c r="A363" s="393">
        <v>42779</v>
      </c>
      <c r="B363" s="335" t="s">
        <v>127</v>
      </c>
      <c r="C363" s="335" t="s">
        <v>151</v>
      </c>
      <c r="D363" s="498" t="s">
        <v>213</v>
      </c>
      <c r="E363" s="396">
        <v>350776</v>
      </c>
      <c r="F363" s="394"/>
      <c r="G363" s="497">
        <f>3.63+20.99</f>
        <v>24.619999999999997</v>
      </c>
      <c r="H363" s="396">
        <v>2797273</v>
      </c>
      <c r="J363" s="495" t="s">
        <v>2065</v>
      </c>
    </row>
    <row r="364" spans="1:10" ht="18" customHeight="1" x14ac:dyDescent="0.25">
      <c r="A364" s="397">
        <v>42779</v>
      </c>
      <c r="B364" s="323" t="s">
        <v>127</v>
      </c>
      <c r="D364" s="494" t="s">
        <v>2067</v>
      </c>
      <c r="E364" s="493">
        <v>353023</v>
      </c>
      <c r="F364" s="501"/>
      <c r="G364" s="502">
        <f>47.61+9.24</f>
        <v>56.85</v>
      </c>
      <c r="H364" s="492">
        <v>2801479</v>
      </c>
      <c r="J364" s="500" t="s">
        <v>2066</v>
      </c>
    </row>
    <row r="365" spans="1:10" s="336" customFormat="1" x14ac:dyDescent="0.25">
      <c r="A365" s="393">
        <v>42780</v>
      </c>
      <c r="B365" s="335" t="s">
        <v>127</v>
      </c>
      <c r="C365" s="335" t="s">
        <v>151</v>
      </c>
      <c r="D365" s="498" t="s">
        <v>214</v>
      </c>
      <c r="E365" s="396">
        <v>351307</v>
      </c>
      <c r="F365" s="394"/>
      <c r="G365" s="497">
        <f>34.85+2.1</f>
        <v>36.950000000000003</v>
      </c>
      <c r="H365" s="396">
        <v>2799151</v>
      </c>
      <c r="J365" s="495" t="s">
        <v>2068</v>
      </c>
    </row>
    <row r="366" spans="1:10" s="336" customFormat="1" x14ac:dyDescent="0.25">
      <c r="A366" s="393">
        <v>42786</v>
      </c>
      <c r="B366" s="335" t="s">
        <v>127</v>
      </c>
      <c r="C366" s="335" t="s">
        <v>151</v>
      </c>
      <c r="D366" s="498" t="s">
        <v>214</v>
      </c>
      <c r="E366" s="396">
        <v>351307</v>
      </c>
      <c r="F366" s="394"/>
      <c r="G366" s="497">
        <f>53.05+10.9</f>
        <v>63.949999999999996</v>
      </c>
      <c r="H366" s="396">
        <v>2820070</v>
      </c>
      <c r="J366" s="495" t="s">
        <v>2068</v>
      </c>
    </row>
    <row r="367" spans="1:10" s="336" customFormat="1" x14ac:dyDescent="0.25">
      <c r="A367" s="530">
        <v>42786</v>
      </c>
      <c r="B367" s="335" t="s">
        <v>127</v>
      </c>
      <c r="C367" s="335" t="s">
        <v>151</v>
      </c>
      <c r="D367" s="498" t="s">
        <v>216</v>
      </c>
      <c r="E367" s="396">
        <v>350875</v>
      </c>
      <c r="F367" s="354"/>
      <c r="G367" s="497">
        <f>56.53+37.7</f>
        <v>94.23</v>
      </c>
      <c r="H367" s="396">
        <v>2815946</v>
      </c>
      <c r="J367" s="495" t="s">
        <v>2069</v>
      </c>
    </row>
    <row r="368" spans="1:10" s="336" customFormat="1" x14ac:dyDescent="0.25">
      <c r="A368" s="525" t="s">
        <v>2099</v>
      </c>
      <c r="B368" s="335" t="s">
        <v>0</v>
      </c>
      <c r="C368" s="335" t="s">
        <v>238</v>
      </c>
      <c r="D368" s="507" t="s">
        <v>2071</v>
      </c>
      <c r="E368" s="545">
        <v>351849</v>
      </c>
      <c r="F368" s="491" t="s">
        <v>2070</v>
      </c>
      <c r="G368" s="497">
        <v>51.37</v>
      </c>
      <c r="H368" s="545"/>
      <c r="J368" s="490" t="s">
        <v>2104</v>
      </c>
    </row>
    <row r="369" spans="1:10" s="336" customFormat="1" x14ac:dyDescent="0.25">
      <c r="A369" s="525" t="s">
        <v>2099</v>
      </c>
      <c r="B369" s="335" t="s">
        <v>0</v>
      </c>
      <c r="C369" s="335" t="s">
        <v>238</v>
      </c>
      <c r="D369" s="507" t="s">
        <v>2073</v>
      </c>
      <c r="E369" s="545">
        <v>352603</v>
      </c>
      <c r="F369" s="491" t="s">
        <v>2072</v>
      </c>
      <c r="G369" s="497">
        <v>25.16</v>
      </c>
      <c r="H369" s="545"/>
      <c r="J369" s="490" t="s">
        <v>2104</v>
      </c>
    </row>
    <row r="370" spans="1:10" s="336" customFormat="1" x14ac:dyDescent="0.25">
      <c r="A370" s="525" t="s">
        <v>2099</v>
      </c>
      <c r="B370" s="335" t="s">
        <v>0</v>
      </c>
      <c r="C370" s="335" t="s">
        <v>238</v>
      </c>
      <c r="D370" s="507" t="s">
        <v>2074</v>
      </c>
      <c r="E370" s="545">
        <v>350437</v>
      </c>
      <c r="F370" s="491" t="s">
        <v>2075</v>
      </c>
      <c r="G370" s="497">
        <v>173.03</v>
      </c>
      <c r="H370" s="545"/>
      <c r="J370" s="490" t="s">
        <v>2104</v>
      </c>
    </row>
    <row r="371" spans="1:10" s="336" customFormat="1" x14ac:dyDescent="0.25">
      <c r="A371" s="525" t="s">
        <v>2099</v>
      </c>
      <c r="B371" s="335" t="s">
        <v>0</v>
      </c>
      <c r="C371" s="335" t="s">
        <v>238</v>
      </c>
      <c r="D371" s="507" t="s">
        <v>2077</v>
      </c>
      <c r="E371" s="545">
        <v>352592</v>
      </c>
      <c r="F371" s="491" t="s">
        <v>2076</v>
      </c>
      <c r="G371" s="497">
        <v>198.85</v>
      </c>
      <c r="H371" s="545"/>
      <c r="J371" s="490" t="s">
        <v>2192</v>
      </c>
    </row>
    <row r="372" spans="1:10" s="336" customFormat="1" x14ac:dyDescent="0.25">
      <c r="A372" s="525" t="s">
        <v>2099</v>
      </c>
      <c r="B372" s="335" t="s">
        <v>0</v>
      </c>
      <c r="C372" s="335" t="s">
        <v>238</v>
      </c>
      <c r="D372" s="507" t="s">
        <v>2079</v>
      </c>
      <c r="E372" s="545">
        <v>215037</v>
      </c>
      <c r="F372" s="491" t="s">
        <v>2078</v>
      </c>
      <c r="G372" s="497">
        <v>104.9</v>
      </c>
      <c r="H372" s="545"/>
      <c r="J372" s="490" t="s">
        <v>2104</v>
      </c>
    </row>
    <row r="373" spans="1:10" x14ac:dyDescent="0.25">
      <c r="A373" s="321" t="s">
        <v>2099</v>
      </c>
      <c r="B373" s="323" t="s">
        <v>58</v>
      </c>
      <c r="D373" s="561" t="s">
        <v>2080</v>
      </c>
      <c r="E373" s="553">
        <v>351359</v>
      </c>
      <c r="F373" s="489"/>
      <c r="G373" s="502">
        <v>74.95</v>
      </c>
      <c r="H373" s="553">
        <v>2806057</v>
      </c>
      <c r="J373" s="488" t="s">
        <v>2103</v>
      </c>
    </row>
    <row r="374" spans="1:10" s="336" customFormat="1" x14ac:dyDescent="0.25">
      <c r="A374" s="525" t="s">
        <v>2099</v>
      </c>
      <c r="B374" s="335" t="s">
        <v>0</v>
      </c>
      <c r="C374" s="335" t="s">
        <v>238</v>
      </c>
      <c r="D374" s="507" t="s">
        <v>2082</v>
      </c>
      <c r="E374" s="545">
        <v>351527</v>
      </c>
      <c r="F374" s="491" t="s">
        <v>2081</v>
      </c>
      <c r="G374" s="497">
        <v>74.36</v>
      </c>
      <c r="J374" s="490" t="s">
        <v>44</v>
      </c>
    </row>
    <row r="375" spans="1:10" s="336" customFormat="1" x14ac:dyDescent="0.25">
      <c r="A375" s="525" t="s">
        <v>2099</v>
      </c>
      <c r="B375" s="335" t="s">
        <v>0</v>
      </c>
      <c r="C375" s="335" t="s">
        <v>238</v>
      </c>
      <c r="D375" s="507" t="s">
        <v>2084</v>
      </c>
      <c r="E375" s="545">
        <v>352125</v>
      </c>
      <c r="F375" s="491" t="s">
        <v>2083</v>
      </c>
      <c r="G375" s="526">
        <v>69.95</v>
      </c>
      <c r="J375" s="490" t="s">
        <v>2104</v>
      </c>
    </row>
    <row r="376" spans="1:10" s="336" customFormat="1" x14ac:dyDescent="0.25">
      <c r="A376" s="525" t="s">
        <v>2099</v>
      </c>
      <c r="B376" s="335" t="s">
        <v>0</v>
      </c>
      <c r="C376" s="335" t="s">
        <v>238</v>
      </c>
      <c r="D376" s="507" t="s">
        <v>2086</v>
      </c>
      <c r="E376" s="545">
        <v>215743</v>
      </c>
      <c r="F376" s="491" t="s">
        <v>2085</v>
      </c>
      <c r="G376" s="526">
        <v>68.53</v>
      </c>
      <c r="J376" s="490" t="s">
        <v>2104</v>
      </c>
    </row>
    <row r="377" spans="1:10" s="336" customFormat="1" x14ac:dyDescent="0.25">
      <c r="A377" s="525" t="s">
        <v>2099</v>
      </c>
      <c r="B377" s="335" t="s">
        <v>0</v>
      </c>
      <c r="C377" s="335" t="s">
        <v>238</v>
      </c>
      <c r="D377" s="507" t="s">
        <v>2088</v>
      </c>
      <c r="E377" s="545">
        <v>350407</v>
      </c>
      <c r="F377" s="491" t="s">
        <v>2087</v>
      </c>
      <c r="G377" s="526">
        <v>64</v>
      </c>
      <c r="J377" s="490" t="s">
        <v>2104</v>
      </c>
    </row>
    <row r="378" spans="1:10" s="336" customFormat="1" x14ac:dyDescent="0.25">
      <c r="A378" s="525" t="s">
        <v>2099</v>
      </c>
      <c r="B378" s="335" t="s">
        <v>0</v>
      </c>
      <c r="C378" s="335" t="s">
        <v>238</v>
      </c>
      <c r="D378" s="507" t="s">
        <v>1780</v>
      </c>
      <c r="E378" s="545">
        <v>350368</v>
      </c>
      <c r="F378" s="491" t="s">
        <v>2089</v>
      </c>
      <c r="G378" s="526">
        <v>62.49</v>
      </c>
      <c r="J378" s="490" t="s">
        <v>2104</v>
      </c>
    </row>
    <row r="379" spans="1:10" s="336" customFormat="1" x14ac:dyDescent="0.25">
      <c r="A379" s="525" t="s">
        <v>2099</v>
      </c>
      <c r="B379" s="335" t="s">
        <v>0</v>
      </c>
      <c r="C379" s="335" t="s">
        <v>238</v>
      </c>
      <c r="D379" s="507" t="s">
        <v>1978</v>
      </c>
      <c r="E379" s="545">
        <v>350577</v>
      </c>
      <c r="F379" s="491" t="s">
        <v>2090</v>
      </c>
      <c r="G379" s="526">
        <v>51.31</v>
      </c>
      <c r="J379" s="490" t="s">
        <v>2104</v>
      </c>
    </row>
    <row r="380" spans="1:10" s="336" customFormat="1" x14ac:dyDescent="0.25">
      <c r="A380" s="525" t="s">
        <v>2099</v>
      </c>
      <c r="B380" s="335" t="s">
        <v>0</v>
      </c>
      <c r="C380" s="335" t="s">
        <v>238</v>
      </c>
      <c r="D380" s="517" t="s">
        <v>2092</v>
      </c>
      <c r="E380" s="545">
        <v>351254</v>
      </c>
      <c r="F380" s="491" t="s">
        <v>2091</v>
      </c>
      <c r="G380" s="526">
        <v>46.16</v>
      </c>
      <c r="J380" s="490" t="s">
        <v>2104</v>
      </c>
    </row>
    <row r="381" spans="1:10" s="336" customFormat="1" x14ac:dyDescent="0.25">
      <c r="A381" s="525" t="s">
        <v>2099</v>
      </c>
      <c r="B381" s="335" t="s">
        <v>0</v>
      </c>
      <c r="C381" s="335" t="s">
        <v>238</v>
      </c>
      <c r="D381" s="517" t="s">
        <v>2093</v>
      </c>
      <c r="E381" s="545">
        <v>217319</v>
      </c>
      <c r="F381" s="491" t="s">
        <v>2094</v>
      </c>
      <c r="G381" s="526">
        <v>36.950000000000003</v>
      </c>
      <c r="J381" s="490" t="s">
        <v>2104</v>
      </c>
    </row>
    <row r="382" spans="1:10" s="336" customFormat="1" x14ac:dyDescent="0.25">
      <c r="A382" s="525" t="s">
        <v>2099</v>
      </c>
      <c r="B382" s="335" t="s">
        <v>0</v>
      </c>
      <c r="C382" s="335" t="s">
        <v>238</v>
      </c>
      <c r="D382" s="517" t="s">
        <v>2096</v>
      </c>
      <c r="E382" s="545">
        <v>352367</v>
      </c>
      <c r="F382" s="491" t="s">
        <v>2095</v>
      </c>
      <c r="G382" s="526">
        <v>35.659999999999997</v>
      </c>
      <c r="J382" s="490" t="s">
        <v>2104</v>
      </c>
    </row>
    <row r="383" spans="1:10" s="336" customFormat="1" x14ac:dyDescent="0.25">
      <c r="A383" s="525" t="s">
        <v>2099</v>
      </c>
      <c r="B383" s="335" t="s">
        <v>0</v>
      </c>
      <c r="C383" s="335" t="s">
        <v>238</v>
      </c>
      <c r="D383" s="517" t="s">
        <v>2098</v>
      </c>
      <c r="E383" s="545">
        <v>351064</v>
      </c>
      <c r="F383" s="491" t="s">
        <v>2097</v>
      </c>
      <c r="G383" s="526">
        <v>30.68</v>
      </c>
      <c r="J383" s="490" t="s">
        <v>2104</v>
      </c>
    </row>
    <row r="384" spans="1:10" x14ac:dyDescent="0.25">
      <c r="A384" s="321" t="s">
        <v>2106</v>
      </c>
      <c r="B384" s="323" t="s">
        <v>58</v>
      </c>
      <c r="D384" s="487">
        <v>376270713997</v>
      </c>
      <c r="E384" s="553">
        <v>351215</v>
      </c>
      <c r="F384" s="390"/>
      <c r="G384" s="486">
        <v>67.37</v>
      </c>
      <c r="H384" s="553">
        <v>2839090</v>
      </c>
      <c r="J384" s="323" t="s">
        <v>2103</v>
      </c>
    </row>
    <row r="385" spans="1:19" x14ac:dyDescent="0.25">
      <c r="A385" s="321" t="s">
        <v>2106</v>
      </c>
      <c r="B385" s="323" t="s">
        <v>58</v>
      </c>
      <c r="D385" s="511" t="s">
        <v>1710</v>
      </c>
      <c r="E385" s="492">
        <v>351488</v>
      </c>
      <c r="F385" s="550"/>
      <c r="G385" s="485">
        <v>195.66</v>
      </c>
      <c r="H385" s="492">
        <v>2839171</v>
      </c>
      <c r="I385" s="562"/>
      <c r="J385" s="484" t="s">
        <v>2103</v>
      </c>
      <c r="K385" s="562"/>
      <c r="L385" s="562"/>
      <c r="M385" s="562"/>
      <c r="N385" s="562"/>
      <c r="O385" s="562"/>
      <c r="P385" s="562"/>
      <c r="Q385" s="562"/>
      <c r="R385" s="562"/>
      <c r="S385" s="562"/>
    </row>
    <row r="386" spans="1:19" x14ac:dyDescent="0.25">
      <c r="A386" s="483" t="s">
        <v>2106</v>
      </c>
      <c r="B386" s="323" t="s">
        <v>58</v>
      </c>
      <c r="C386" s="320"/>
      <c r="D386" s="561" t="s">
        <v>2108</v>
      </c>
      <c r="E386" s="492">
        <v>350497</v>
      </c>
      <c r="F386" s="550"/>
      <c r="G386" s="485">
        <v>37.9</v>
      </c>
      <c r="H386" s="492">
        <v>2826523</v>
      </c>
      <c r="I386" s="562"/>
      <c r="J386" s="484" t="s">
        <v>2103</v>
      </c>
      <c r="K386" s="562"/>
      <c r="L386" s="562"/>
      <c r="M386" s="562"/>
      <c r="N386" s="562"/>
      <c r="O386" s="562"/>
      <c r="P386" s="562"/>
      <c r="Q386" s="562"/>
      <c r="R386" s="562"/>
      <c r="S386" s="562"/>
    </row>
    <row r="387" spans="1:19" x14ac:dyDescent="0.25">
      <c r="A387" s="482" t="s">
        <v>2106</v>
      </c>
      <c r="B387" s="323" t="s">
        <v>58</v>
      </c>
      <c r="C387" s="322"/>
      <c r="D387" s="561" t="s">
        <v>396</v>
      </c>
      <c r="E387" s="502">
        <v>350503</v>
      </c>
      <c r="F387" s="550"/>
      <c r="G387" s="485">
        <v>58.95</v>
      </c>
      <c r="H387" s="502">
        <v>2838417</v>
      </c>
      <c r="I387" s="562"/>
      <c r="J387" s="484" t="s">
        <v>2103</v>
      </c>
    </row>
    <row r="388" spans="1:19" x14ac:dyDescent="0.25">
      <c r="A388" s="482" t="s">
        <v>2106</v>
      </c>
      <c r="B388" s="323" t="s">
        <v>58</v>
      </c>
      <c r="C388" s="322"/>
      <c r="D388" s="481" t="s">
        <v>104</v>
      </c>
      <c r="E388" s="502">
        <v>350427</v>
      </c>
      <c r="F388" s="550"/>
      <c r="G388" s="485">
        <v>57.95</v>
      </c>
      <c r="H388" s="502">
        <v>2838492</v>
      </c>
      <c r="I388" s="562"/>
      <c r="J388" s="484" t="s">
        <v>2103</v>
      </c>
    </row>
    <row r="389" spans="1:19" x14ac:dyDescent="0.25">
      <c r="A389" s="482" t="s">
        <v>2106</v>
      </c>
      <c r="B389" s="323" t="s">
        <v>58</v>
      </c>
      <c r="C389" s="322"/>
      <c r="D389" s="481" t="s">
        <v>2109</v>
      </c>
      <c r="E389" s="502">
        <v>351535</v>
      </c>
      <c r="F389" s="550"/>
      <c r="G389" s="485">
        <v>53.9</v>
      </c>
      <c r="H389" s="502">
        <v>2839136</v>
      </c>
      <c r="I389" s="562"/>
      <c r="J389" s="484" t="s">
        <v>2103</v>
      </c>
    </row>
    <row r="390" spans="1:19" x14ac:dyDescent="0.25">
      <c r="A390" s="482" t="s">
        <v>2106</v>
      </c>
      <c r="B390" s="323" t="s">
        <v>58</v>
      </c>
      <c r="C390" s="322"/>
      <c r="D390" s="481" t="s">
        <v>2110</v>
      </c>
      <c r="E390" s="502">
        <v>352828</v>
      </c>
      <c r="F390" s="550"/>
      <c r="G390" s="485">
        <v>185.9</v>
      </c>
      <c r="H390" s="502">
        <v>2839110</v>
      </c>
      <c r="I390" s="562"/>
      <c r="J390" s="484" t="s">
        <v>2103</v>
      </c>
    </row>
    <row r="391" spans="1:19" x14ac:dyDescent="0.25">
      <c r="A391" s="482" t="s">
        <v>2106</v>
      </c>
      <c r="B391" s="323" t="s">
        <v>58</v>
      </c>
      <c r="C391" s="322"/>
      <c r="D391" s="481" t="s">
        <v>2111</v>
      </c>
      <c r="E391" s="502">
        <v>352282</v>
      </c>
      <c r="F391" s="550"/>
      <c r="G391" s="485">
        <v>15.95</v>
      </c>
      <c r="H391" s="502">
        <v>2816750</v>
      </c>
      <c r="I391" s="562"/>
      <c r="J391" s="484" t="s">
        <v>2103</v>
      </c>
    </row>
    <row r="392" spans="1:19" x14ac:dyDescent="0.25">
      <c r="A392" s="482" t="s">
        <v>2106</v>
      </c>
      <c r="B392" s="323" t="s">
        <v>58</v>
      </c>
      <c r="C392" s="322"/>
      <c r="D392" s="481" t="s">
        <v>2112</v>
      </c>
      <c r="E392" s="480">
        <v>225640</v>
      </c>
      <c r="G392" s="485">
        <v>9.5500000000000007</v>
      </c>
      <c r="H392" s="480">
        <v>2838428</v>
      </c>
      <c r="J392" s="484" t="s">
        <v>2103</v>
      </c>
    </row>
    <row r="393" spans="1:19" x14ac:dyDescent="0.25">
      <c r="A393" s="482" t="s">
        <v>2106</v>
      </c>
      <c r="B393" s="323" t="s">
        <v>58</v>
      </c>
      <c r="C393" s="322"/>
      <c r="D393" s="481" t="s">
        <v>2113</v>
      </c>
      <c r="E393" s="480">
        <v>350057</v>
      </c>
      <c r="G393" s="485">
        <v>14.93</v>
      </c>
      <c r="H393" s="480">
        <v>2837006</v>
      </c>
      <c r="J393" s="484" t="s">
        <v>2103</v>
      </c>
    </row>
    <row r="394" spans="1:19" x14ac:dyDescent="0.25">
      <c r="A394" s="482" t="s">
        <v>2106</v>
      </c>
      <c r="B394" s="323" t="s">
        <v>58</v>
      </c>
      <c r="C394" s="322"/>
      <c r="D394" s="481" t="s">
        <v>2114</v>
      </c>
      <c r="E394" s="480">
        <v>215864</v>
      </c>
      <c r="G394" s="485">
        <v>36.51</v>
      </c>
      <c r="H394" s="480">
        <v>2836767</v>
      </c>
      <c r="J394" s="484" t="s">
        <v>2103</v>
      </c>
    </row>
    <row r="395" spans="1:19" x14ac:dyDescent="0.25">
      <c r="A395" s="482" t="s">
        <v>2106</v>
      </c>
      <c r="B395" s="323" t="s">
        <v>58</v>
      </c>
      <c r="C395" s="322"/>
      <c r="D395" s="481" t="s">
        <v>2115</v>
      </c>
      <c r="E395" s="480">
        <v>352628</v>
      </c>
      <c r="G395" s="485">
        <v>51.43</v>
      </c>
      <c r="H395" s="480">
        <v>2830032</v>
      </c>
      <c r="J395" s="484" t="s">
        <v>2103</v>
      </c>
    </row>
    <row r="396" spans="1:19" x14ac:dyDescent="0.25">
      <c r="A396" s="482" t="s">
        <v>2106</v>
      </c>
      <c r="B396" s="323" t="s">
        <v>58</v>
      </c>
      <c r="C396" s="322"/>
      <c r="D396" s="481" t="s">
        <v>2116</v>
      </c>
      <c r="E396" s="480">
        <v>212814</v>
      </c>
      <c r="G396" s="485">
        <v>53.51</v>
      </c>
      <c r="H396" s="480">
        <v>2836705</v>
      </c>
      <c r="J396" s="484" t="s">
        <v>2103</v>
      </c>
      <c r="K396" s="562"/>
      <c r="L396" s="562"/>
      <c r="M396" s="562"/>
      <c r="N396" s="562"/>
      <c r="O396" s="562"/>
      <c r="P396" s="562"/>
    </row>
    <row r="397" spans="1:19" x14ac:dyDescent="0.25">
      <c r="A397" s="321" t="s">
        <v>2106</v>
      </c>
      <c r="B397" s="323" t="s">
        <v>58</v>
      </c>
      <c r="C397" s="322"/>
      <c r="D397" s="561" t="s">
        <v>2117</v>
      </c>
      <c r="E397" s="480">
        <v>224148</v>
      </c>
      <c r="G397" s="485">
        <v>70.48</v>
      </c>
      <c r="H397" s="480">
        <v>2838654</v>
      </c>
      <c r="J397" s="484" t="s">
        <v>2103</v>
      </c>
      <c r="K397" s="562"/>
      <c r="L397" s="562"/>
      <c r="M397" s="562"/>
      <c r="N397" s="562"/>
      <c r="O397" s="562"/>
      <c r="P397" s="562"/>
    </row>
    <row r="398" spans="1:19" x14ac:dyDescent="0.25">
      <c r="A398" s="321" t="s">
        <v>2106</v>
      </c>
      <c r="B398" s="323" t="s">
        <v>58</v>
      </c>
      <c r="C398" s="322"/>
      <c r="D398" s="561" t="s">
        <v>1464</v>
      </c>
      <c r="E398" s="480">
        <v>350343</v>
      </c>
      <c r="G398" s="485">
        <v>76.11</v>
      </c>
      <c r="H398" s="480">
        <v>2836563</v>
      </c>
      <c r="J398" s="484" t="s">
        <v>2103</v>
      </c>
      <c r="K398" s="562"/>
      <c r="L398" s="562"/>
      <c r="M398" s="562"/>
      <c r="N398" s="562"/>
      <c r="O398" s="562"/>
      <c r="P398" s="562"/>
    </row>
    <row r="399" spans="1:19" x14ac:dyDescent="0.25">
      <c r="A399" s="321" t="s">
        <v>2106</v>
      </c>
      <c r="B399" s="323" t="s">
        <v>58</v>
      </c>
      <c r="C399" s="322"/>
      <c r="D399" s="561" t="s">
        <v>2119</v>
      </c>
      <c r="E399" s="480">
        <v>219353</v>
      </c>
      <c r="G399" s="479">
        <v>90.91</v>
      </c>
      <c r="H399" s="480">
        <v>2837224</v>
      </c>
      <c r="J399" s="484" t="s">
        <v>2103</v>
      </c>
      <c r="K399" s="562"/>
      <c r="L399" s="562"/>
      <c r="M399" s="562"/>
      <c r="N399" s="562"/>
      <c r="O399" s="562"/>
      <c r="P399" s="562"/>
    </row>
    <row r="400" spans="1:19" x14ac:dyDescent="0.25">
      <c r="A400" s="321" t="s">
        <v>2106</v>
      </c>
      <c r="B400" s="323" t="s">
        <v>58</v>
      </c>
      <c r="C400" s="322"/>
      <c r="D400" s="561" t="s">
        <v>2120</v>
      </c>
      <c r="E400" s="480">
        <v>202</v>
      </c>
      <c r="G400" s="479">
        <v>95.9</v>
      </c>
      <c r="H400" s="480">
        <v>2824266</v>
      </c>
      <c r="J400" s="484" t="s">
        <v>2103</v>
      </c>
      <c r="K400" s="562"/>
      <c r="L400" s="562"/>
      <c r="M400" s="562"/>
      <c r="N400" s="562"/>
      <c r="O400" s="562"/>
      <c r="P400" s="562"/>
    </row>
    <row r="401" spans="1:16" x14ac:dyDescent="0.25">
      <c r="A401" s="321" t="s">
        <v>2106</v>
      </c>
      <c r="B401" s="323" t="s">
        <v>58</v>
      </c>
      <c r="C401" s="322"/>
      <c r="D401" s="561" t="s">
        <v>115</v>
      </c>
      <c r="E401" s="480">
        <v>351425</v>
      </c>
      <c r="G401" s="479">
        <v>95.9</v>
      </c>
      <c r="H401" s="480">
        <v>2839111</v>
      </c>
      <c r="J401" s="484" t="s">
        <v>2103</v>
      </c>
      <c r="K401" s="562"/>
      <c r="L401" s="562"/>
      <c r="M401" s="562"/>
      <c r="N401" s="562"/>
      <c r="O401" s="562"/>
      <c r="P401" s="562"/>
    </row>
    <row r="402" spans="1:16" x14ac:dyDescent="0.25">
      <c r="A402" s="478" t="s">
        <v>2106</v>
      </c>
      <c r="B402" s="477" t="s">
        <v>58</v>
      </c>
      <c r="C402" s="322"/>
      <c r="D402" s="561" t="s">
        <v>2121</v>
      </c>
      <c r="E402" s="502">
        <v>351874</v>
      </c>
      <c r="F402" s="550"/>
      <c r="G402" s="479">
        <v>99.95</v>
      </c>
      <c r="H402" s="502">
        <v>2839098</v>
      </c>
      <c r="I402" s="562"/>
      <c r="J402" s="484" t="s">
        <v>2103</v>
      </c>
      <c r="K402" s="562"/>
      <c r="L402" s="562"/>
      <c r="M402" s="562"/>
      <c r="N402" s="562"/>
      <c r="O402" s="562"/>
      <c r="P402" s="562"/>
    </row>
    <row r="403" spans="1:16" x14ac:dyDescent="0.25">
      <c r="A403" s="476" t="s">
        <v>2106</v>
      </c>
      <c r="B403" s="475" t="s">
        <v>58</v>
      </c>
      <c r="C403" s="322"/>
      <c r="D403" s="511" t="s">
        <v>2122</v>
      </c>
      <c r="E403" s="502">
        <v>353035</v>
      </c>
      <c r="F403" s="550"/>
      <c r="G403" s="479">
        <v>103.58</v>
      </c>
      <c r="H403" s="502">
        <v>2833211</v>
      </c>
      <c r="I403" s="562"/>
      <c r="J403" s="484" t="s">
        <v>2103</v>
      </c>
      <c r="K403" s="562"/>
      <c r="L403" s="562"/>
      <c r="M403" s="562"/>
      <c r="N403" s="562"/>
      <c r="O403" s="562"/>
      <c r="P403" s="562"/>
    </row>
    <row r="404" spans="1:16" x14ac:dyDescent="0.25">
      <c r="A404" s="476" t="s">
        <v>2106</v>
      </c>
      <c r="B404" s="475" t="s">
        <v>58</v>
      </c>
      <c r="C404" s="322"/>
      <c r="D404" s="561" t="s">
        <v>2123</v>
      </c>
      <c r="E404" s="502">
        <v>82135</v>
      </c>
      <c r="F404" s="550"/>
      <c r="G404" s="479">
        <v>17.95</v>
      </c>
      <c r="H404" s="502">
        <v>2837148</v>
      </c>
      <c r="I404" s="562"/>
      <c r="J404" s="484" t="s">
        <v>2103</v>
      </c>
      <c r="K404" s="562"/>
      <c r="L404" s="562"/>
      <c r="M404" s="562"/>
      <c r="N404" s="562"/>
      <c r="O404" s="562"/>
      <c r="P404" s="562"/>
    </row>
    <row r="405" spans="1:16" x14ac:dyDescent="0.25">
      <c r="A405" s="476" t="s">
        <v>2106</v>
      </c>
      <c r="B405" s="475" t="s">
        <v>58</v>
      </c>
      <c r="C405" s="322"/>
      <c r="D405" s="561" t="s">
        <v>2124</v>
      </c>
      <c r="E405" s="502">
        <v>350447</v>
      </c>
      <c r="F405" s="550"/>
      <c r="G405" s="479">
        <v>110.61</v>
      </c>
      <c r="H405" s="502">
        <v>2839041</v>
      </c>
      <c r="I405" s="562"/>
      <c r="J405" s="484" t="s">
        <v>2103</v>
      </c>
      <c r="K405" s="562"/>
      <c r="L405" s="562"/>
      <c r="M405" s="562"/>
      <c r="N405" s="562"/>
      <c r="O405" s="562"/>
      <c r="P405" s="562"/>
    </row>
    <row r="406" spans="1:16" s="336" customFormat="1" x14ac:dyDescent="0.25">
      <c r="A406" s="474" t="s">
        <v>2106</v>
      </c>
      <c r="B406" s="473" t="s">
        <v>58</v>
      </c>
      <c r="C406" s="335"/>
      <c r="D406" s="507" t="s">
        <v>2125</v>
      </c>
      <c r="E406" s="497">
        <v>350142</v>
      </c>
      <c r="F406" s="342"/>
      <c r="G406" s="472">
        <v>127.52</v>
      </c>
      <c r="H406" s="497">
        <v>2823161</v>
      </c>
      <c r="J406" s="471" t="s">
        <v>2133</v>
      </c>
    </row>
    <row r="407" spans="1:16" s="336" customFormat="1" x14ac:dyDescent="0.25">
      <c r="A407" s="474" t="s">
        <v>2106</v>
      </c>
      <c r="B407" s="473" t="s">
        <v>58</v>
      </c>
      <c r="C407" s="335"/>
      <c r="D407" s="507" t="s">
        <v>2127</v>
      </c>
      <c r="E407" s="497">
        <v>353206</v>
      </c>
      <c r="F407" s="342"/>
      <c r="G407" s="472">
        <v>199.96</v>
      </c>
      <c r="H407" s="497">
        <v>2828183</v>
      </c>
      <c r="J407" s="471" t="s">
        <v>2133</v>
      </c>
    </row>
    <row r="408" spans="1:16" x14ac:dyDescent="0.25">
      <c r="A408" s="470" t="s">
        <v>2106</v>
      </c>
      <c r="B408" s="477" t="s">
        <v>58</v>
      </c>
      <c r="D408" s="561" t="s">
        <v>2128</v>
      </c>
      <c r="E408" s="469">
        <v>351893</v>
      </c>
      <c r="G408" s="479">
        <v>159.94999999999999</v>
      </c>
      <c r="H408" s="469">
        <v>2838714</v>
      </c>
      <c r="J408" s="484" t="s">
        <v>2103</v>
      </c>
      <c r="P408" s="562"/>
    </row>
    <row r="409" spans="1:16" s="336" customFormat="1" x14ac:dyDescent="0.25">
      <c r="A409" s="468" t="s">
        <v>2106</v>
      </c>
      <c r="B409" s="335" t="s">
        <v>0</v>
      </c>
      <c r="C409" s="335" t="s">
        <v>238</v>
      </c>
      <c r="D409" s="517" t="s">
        <v>2107</v>
      </c>
      <c r="E409" s="396">
        <v>352201</v>
      </c>
      <c r="F409" s="342"/>
      <c r="G409" s="342">
        <v>51.8</v>
      </c>
      <c r="H409" s="467"/>
      <c r="J409" s="513" t="s">
        <v>2134</v>
      </c>
    </row>
    <row r="410" spans="1:16" s="336" customFormat="1" x14ac:dyDescent="0.25">
      <c r="A410" s="466" t="s">
        <v>2106</v>
      </c>
      <c r="B410" s="465" t="s">
        <v>0</v>
      </c>
      <c r="C410" s="335" t="s">
        <v>238</v>
      </c>
      <c r="D410" s="507" t="s">
        <v>1212</v>
      </c>
      <c r="E410" s="497">
        <v>224525</v>
      </c>
      <c r="F410" s="491" t="s">
        <v>2118</v>
      </c>
      <c r="G410" s="342">
        <v>89.95</v>
      </c>
      <c r="H410" s="464"/>
      <c r="J410" s="521" t="s">
        <v>2242</v>
      </c>
    </row>
    <row r="411" spans="1:16" s="336" customFormat="1" x14ac:dyDescent="0.25">
      <c r="A411" s="466" t="s">
        <v>2106</v>
      </c>
      <c r="B411" s="465" t="s">
        <v>0</v>
      </c>
      <c r="C411" s="335" t="s">
        <v>238</v>
      </c>
      <c r="D411" s="507" t="s">
        <v>1780</v>
      </c>
      <c r="E411" s="497">
        <v>350368</v>
      </c>
      <c r="F411" s="491" t="s">
        <v>2126</v>
      </c>
      <c r="G411" s="342">
        <v>136.63</v>
      </c>
      <c r="H411" s="464"/>
      <c r="J411" s="521" t="s">
        <v>6</v>
      </c>
    </row>
    <row r="412" spans="1:16" s="336" customFormat="1" x14ac:dyDescent="0.25">
      <c r="A412" s="335" t="s">
        <v>2132</v>
      </c>
      <c r="B412" s="335" t="s">
        <v>0</v>
      </c>
      <c r="C412" s="335" t="s">
        <v>238</v>
      </c>
      <c r="D412" s="507" t="s">
        <v>2131</v>
      </c>
      <c r="E412" s="545">
        <v>351829</v>
      </c>
      <c r="F412" s="342"/>
      <c r="G412" s="463">
        <v>104.35</v>
      </c>
      <c r="J412" s="513" t="s">
        <v>2139</v>
      </c>
    </row>
    <row r="413" spans="1:16" s="336" customFormat="1" x14ac:dyDescent="0.25">
      <c r="A413" s="468">
        <v>42787</v>
      </c>
      <c r="B413" s="335" t="s">
        <v>127</v>
      </c>
      <c r="C413" s="462" t="s">
        <v>151</v>
      </c>
      <c r="D413" s="461" t="s">
        <v>212</v>
      </c>
      <c r="E413" s="396">
        <v>350843</v>
      </c>
      <c r="F413" s="342"/>
      <c r="G413" s="545">
        <f>34.31+71.48</f>
        <v>105.79</v>
      </c>
      <c r="H413" s="396">
        <v>2822572</v>
      </c>
      <c r="J413" s="495" t="s">
        <v>2135</v>
      </c>
    </row>
    <row r="414" spans="1:16" s="336" customFormat="1" x14ac:dyDescent="0.25">
      <c r="A414" s="460">
        <v>42787</v>
      </c>
      <c r="B414" s="459" t="s">
        <v>127</v>
      </c>
      <c r="C414" s="462" t="s">
        <v>151</v>
      </c>
      <c r="D414" s="461" t="s">
        <v>212</v>
      </c>
      <c r="E414" s="396">
        <v>350843</v>
      </c>
      <c r="F414" s="342"/>
      <c r="G414" s="545">
        <f>6.81+14.93</f>
        <v>21.74</v>
      </c>
      <c r="H414" s="396">
        <v>2823886</v>
      </c>
      <c r="J414" s="495" t="s">
        <v>2135</v>
      </c>
    </row>
    <row r="415" spans="1:16" s="336" customFormat="1" x14ac:dyDescent="0.25">
      <c r="A415" s="460">
        <v>42786</v>
      </c>
      <c r="B415" s="459" t="s">
        <v>127</v>
      </c>
      <c r="C415" s="462" t="s">
        <v>151</v>
      </c>
      <c r="D415" s="461" t="s">
        <v>212</v>
      </c>
      <c r="E415" s="396">
        <v>350843</v>
      </c>
      <c r="F415" s="342"/>
      <c r="G415" s="545">
        <f>9.82+56.07</f>
        <v>65.89</v>
      </c>
      <c r="H415" s="396">
        <v>2814663</v>
      </c>
      <c r="J415" s="495" t="s">
        <v>2135</v>
      </c>
    </row>
    <row r="416" spans="1:16" s="336" customFormat="1" x14ac:dyDescent="0.25">
      <c r="A416" s="460">
        <v>42788</v>
      </c>
      <c r="B416" s="459" t="s">
        <v>127</v>
      </c>
      <c r="C416" s="462" t="s">
        <v>151</v>
      </c>
      <c r="D416" s="461" t="s">
        <v>212</v>
      </c>
      <c r="E416" s="396">
        <v>350843</v>
      </c>
      <c r="F416" s="342"/>
      <c r="G416" s="545">
        <f>4.48+48.45</f>
        <v>52.930000000000007</v>
      </c>
      <c r="H416" s="396">
        <v>2823183</v>
      </c>
      <c r="J416" s="495" t="s">
        <v>2135</v>
      </c>
    </row>
    <row r="417" spans="1:16" s="336" customFormat="1" x14ac:dyDescent="0.25">
      <c r="A417" s="460">
        <v>42788</v>
      </c>
      <c r="B417" s="459" t="s">
        <v>127</v>
      </c>
      <c r="C417" s="462" t="s">
        <v>151</v>
      </c>
      <c r="D417" s="461" t="s">
        <v>212</v>
      </c>
      <c r="E417" s="396">
        <v>350843</v>
      </c>
      <c r="F417" s="342"/>
      <c r="G417" s="545">
        <f>17.59+57.97</f>
        <v>75.56</v>
      </c>
      <c r="H417" s="396">
        <v>2824445</v>
      </c>
      <c r="J417" s="495" t="s">
        <v>2135</v>
      </c>
    </row>
    <row r="418" spans="1:16" s="336" customFormat="1" x14ac:dyDescent="0.25">
      <c r="A418" s="460">
        <v>42788</v>
      </c>
      <c r="B418" s="459" t="s">
        <v>127</v>
      </c>
      <c r="C418" s="462" t="s">
        <v>151</v>
      </c>
      <c r="D418" s="461" t="s">
        <v>212</v>
      </c>
      <c r="E418" s="396">
        <v>350843</v>
      </c>
      <c r="F418" s="342"/>
      <c r="G418" s="545">
        <f>6.35+31.79</f>
        <v>38.14</v>
      </c>
      <c r="H418" s="396">
        <v>2827210</v>
      </c>
      <c r="J418" s="495" t="s">
        <v>2135</v>
      </c>
    </row>
    <row r="419" spans="1:16" s="336" customFormat="1" x14ac:dyDescent="0.25">
      <c r="A419" s="460">
        <v>42788</v>
      </c>
      <c r="B419" s="459" t="s">
        <v>127</v>
      </c>
      <c r="C419" s="462" t="s">
        <v>151</v>
      </c>
      <c r="D419" s="461" t="s">
        <v>212</v>
      </c>
      <c r="E419" s="396">
        <v>350843</v>
      </c>
      <c r="F419" s="342"/>
      <c r="G419" s="545">
        <f>57.95+99.01</f>
        <v>156.96</v>
      </c>
      <c r="H419" s="396">
        <v>2831185</v>
      </c>
      <c r="J419" s="495" t="s">
        <v>2135</v>
      </c>
    </row>
    <row r="420" spans="1:16" s="336" customFormat="1" x14ac:dyDescent="0.25">
      <c r="A420" s="474">
        <v>42789</v>
      </c>
      <c r="B420" s="459" t="s">
        <v>127</v>
      </c>
      <c r="C420" s="462" t="s">
        <v>151</v>
      </c>
      <c r="D420" s="461" t="s">
        <v>212</v>
      </c>
      <c r="E420" s="396">
        <v>350843</v>
      </c>
      <c r="F420" s="342"/>
      <c r="G420" s="545">
        <f>26.86+54.37</f>
        <v>81.22999999999999</v>
      </c>
      <c r="H420" s="396">
        <v>2832087</v>
      </c>
      <c r="J420" s="495" t="s">
        <v>2135</v>
      </c>
    </row>
    <row r="421" spans="1:16" s="336" customFormat="1" x14ac:dyDescent="0.25">
      <c r="A421" s="474">
        <v>42789</v>
      </c>
      <c r="B421" s="459" t="s">
        <v>127</v>
      </c>
      <c r="C421" s="462" t="s">
        <v>151</v>
      </c>
      <c r="D421" s="461" t="s">
        <v>212</v>
      </c>
      <c r="E421" s="396">
        <v>350843</v>
      </c>
      <c r="F421" s="342"/>
      <c r="G421" s="545">
        <f>11.56+15.7</f>
        <v>27.259999999999998</v>
      </c>
      <c r="H421" s="396">
        <v>2834268</v>
      </c>
      <c r="J421" s="495" t="s">
        <v>2135</v>
      </c>
    </row>
    <row r="422" spans="1:16" x14ac:dyDescent="0.25">
      <c r="A422" s="478">
        <v>42790</v>
      </c>
      <c r="B422" s="458" t="s">
        <v>127</v>
      </c>
      <c r="D422" s="494" t="s">
        <v>181</v>
      </c>
      <c r="E422" s="492">
        <v>351215</v>
      </c>
      <c r="G422" s="553">
        <f>80.84+28.16</f>
        <v>109</v>
      </c>
      <c r="H422" s="469">
        <v>2836236</v>
      </c>
      <c r="J422" s="565" t="s">
        <v>2129</v>
      </c>
      <c r="P422" s="562"/>
    </row>
    <row r="423" spans="1:16" x14ac:dyDescent="0.25">
      <c r="A423" s="478">
        <v>42786.262337962966</v>
      </c>
      <c r="B423" s="457" t="s">
        <v>127</v>
      </c>
      <c r="C423" s="322"/>
      <c r="D423" s="402" t="s">
        <v>181</v>
      </c>
      <c r="E423" s="492">
        <v>351215</v>
      </c>
      <c r="G423" s="532">
        <v>53</v>
      </c>
      <c r="H423" s="502">
        <v>2814483</v>
      </c>
      <c r="J423" s="456" t="s">
        <v>182</v>
      </c>
      <c r="P423" s="562"/>
    </row>
    <row r="424" spans="1:16" x14ac:dyDescent="0.25">
      <c r="A424" s="478">
        <v>42786.267905092594</v>
      </c>
      <c r="B424" s="457" t="s">
        <v>127</v>
      </c>
      <c r="C424" s="322"/>
      <c r="D424" s="402" t="s">
        <v>181</v>
      </c>
      <c r="E424" s="492">
        <v>351215</v>
      </c>
      <c r="G424" s="532">
        <v>90</v>
      </c>
      <c r="H424" s="502">
        <v>2822514</v>
      </c>
      <c r="J424" s="456" t="s">
        <v>182</v>
      </c>
      <c r="P424" s="562"/>
    </row>
    <row r="425" spans="1:16" x14ac:dyDescent="0.25">
      <c r="A425" s="478">
        <v>42786.509965277779</v>
      </c>
      <c r="B425" s="457" t="s">
        <v>127</v>
      </c>
      <c r="C425" s="322"/>
      <c r="D425" s="402" t="s">
        <v>181</v>
      </c>
      <c r="E425" s="492">
        <v>351215</v>
      </c>
      <c r="G425" s="532">
        <v>72.87</v>
      </c>
      <c r="H425" s="502">
        <v>2818761</v>
      </c>
      <c r="J425" s="456" t="s">
        <v>182</v>
      </c>
      <c r="P425" s="562"/>
    </row>
    <row r="426" spans="1:16" x14ac:dyDescent="0.25">
      <c r="A426" s="478">
        <v>42786.519189814811</v>
      </c>
      <c r="B426" s="457" t="s">
        <v>127</v>
      </c>
      <c r="C426" s="322"/>
      <c r="D426" s="402" t="s">
        <v>181</v>
      </c>
      <c r="E426" s="492">
        <v>351215</v>
      </c>
      <c r="G426" s="532">
        <v>72.2</v>
      </c>
      <c r="H426" s="502">
        <v>2819405</v>
      </c>
      <c r="J426" s="456" t="s">
        <v>182</v>
      </c>
      <c r="P426" s="562"/>
    </row>
    <row r="427" spans="1:16" x14ac:dyDescent="0.25">
      <c r="A427" s="478">
        <v>42787.233576388891</v>
      </c>
      <c r="B427" s="457" t="s">
        <v>127</v>
      </c>
      <c r="C427" s="322"/>
      <c r="D427" s="402" t="s">
        <v>181</v>
      </c>
      <c r="E427" s="492">
        <v>351215</v>
      </c>
      <c r="G427" s="532">
        <v>125.07</v>
      </c>
      <c r="H427" s="502">
        <v>2827018</v>
      </c>
      <c r="J427" s="456" t="s">
        <v>182</v>
      </c>
      <c r="P427" s="562"/>
    </row>
    <row r="428" spans="1:16" x14ac:dyDescent="0.25">
      <c r="A428" s="478">
        <v>42788.135740740741</v>
      </c>
      <c r="B428" s="457" t="s">
        <v>127</v>
      </c>
      <c r="C428" s="322"/>
      <c r="D428" s="402" t="s">
        <v>181</v>
      </c>
      <c r="E428" s="492">
        <v>351215</v>
      </c>
      <c r="G428" s="532">
        <v>94.82</v>
      </c>
      <c r="H428" s="502">
        <v>2822209</v>
      </c>
      <c r="J428" s="456" t="s">
        <v>182</v>
      </c>
      <c r="P428" s="562"/>
    </row>
    <row r="429" spans="1:16" x14ac:dyDescent="0.25">
      <c r="A429" s="478">
        <v>42788.188449074078</v>
      </c>
      <c r="B429" s="457" t="s">
        <v>127</v>
      </c>
      <c r="C429" s="322"/>
      <c r="D429" s="402" t="s">
        <v>181</v>
      </c>
      <c r="E429" s="492">
        <v>351215</v>
      </c>
      <c r="G429" s="532">
        <v>171</v>
      </c>
      <c r="H429" s="502">
        <v>2831485</v>
      </c>
      <c r="J429" s="456" t="s">
        <v>182</v>
      </c>
      <c r="P429" s="562"/>
    </row>
    <row r="430" spans="1:16" x14ac:dyDescent="0.25">
      <c r="A430" s="478">
        <v>42788.202048611114</v>
      </c>
      <c r="B430" s="457" t="s">
        <v>127</v>
      </c>
      <c r="C430" s="322"/>
      <c r="D430" s="402" t="s">
        <v>181</v>
      </c>
      <c r="E430" s="492">
        <v>351215</v>
      </c>
      <c r="F430" s="455"/>
      <c r="G430" s="532">
        <v>20.95</v>
      </c>
      <c r="H430" s="502">
        <v>2830136</v>
      </c>
      <c r="J430" s="456" t="s">
        <v>182</v>
      </c>
      <c r="P430" s="562"/>
    </row>
    <row r="431" spans="1:16" x14ac:dyDescent="0.25">
      <c r="A431" s="478">
        <v>42788.23746527778</v>
      </c>
      <c r="B431" s="457" t="s">
        <v>127</v>
      </c>
      <c r="C431" s="322"/>
      <c r="D431" s="402" t="s">
        <v>181</v>
      </c>
      <c r="E431" s="492">
        <v>351215</v>
      </c>
      <c r="G431" s="532">
        <v>116</v>
      </c>
      <c r="H431" s="502">
        <v>2832488</v>
      </c>
      <c r="J431" s="456" t="s">
        <v>182</v>
      </c>
    </row>
    <row r="432" spans="1:16" s="336" customFormat="1" x14ac:dyDescent="0.25">
      <c r="A432" s="460">
        <v>42787</v>
      </c>
      <c r="B432" s="335" t="s">
        <v>127</v>
      </c>
      <c r="C432" s="335" t="s">
        <v>151</v>
      </c>
      <c r="D432" s="498" t="s">
        <v>214</v>
      </c>
      <c r="E432" s="396">
        <v>351307</v>
      </c>
      <c r="F432" s="342"/>
      <c r="G432" s="497">
        <f>20.82+34.13</f>
        <v>54.95</v>
      </c>
      <c r="H432" s="396">
        <v>2823657</v>
      </c>
      <c r="J432" s="521" t="s">
        <v>2136</v>
      </c>
    </row>
    <row r="433" spans="1:19" s="336" customFormat="1" x14ac:dyDescent="0.25">
      <c r="A433" s="460">
        <v>42787</v>
      </c>
      <c r="B433" s="335" t="s">
        <v>127</v>
      </c>
      <c r="C433" s="335" t="s">
        <v>151</v>
      </c>
      <c r="D433" s="498" t="s">
        <v>214</v>
      </c>
      <c r="E433" s="396">
        <v>351307</v>
      </c>
      <c r="F433" s="342"/>
      <c r="G433" s="497">
        <f>4.85+47.1</f>
        <v>51.95</v>
      </c>
      <c r="H433" s="396">
        <v>2819989</v>
      </c>
      <c r="J433" s="521" t="s">
        <v>2136</v>
      </c>
    </row>
    <row r="434" spans="1:19" s="336" customFormat="1" x14ac:dyDescent="0.25">
      <c r="A434" s="460">
        <v>42788</v>
      </c>
      <c r="B434" s="335" t="s">
        <v>127</v>
      </c>
      <c r="C434" s="335" t="s">
        <v>151</v>
      </c>
      <c r="D434" s="498" t="s">
        <v>214</v>
      </c>
      <c r="E434" s="396">
        <v>351307</v>
      </c>
      <c r="F434" s="342"/>
      <c r="G434" s="497">
        <f>4.2+69.7</f>
        <v>73.900000000000006</v>
      </c>
      <c r="H434" s="396">
        <v>2823991</v>
      </c>
      <c r="J434" s="521" t="s">
        <v>2136</v>
      </c>
    </row>
    <row r="435" spans="1:19" s="336" customFormat="1" x14ac:dyDescent="0.25">
      <c r="A435" s="460">
        <v>42789</v>
      </c>
      <c r="B435" s="335" t="s">
        <v>127</v>
      </c>
      <c r="C435" s="335" t="s">
        <v>151</v>
      </c>
      <c r="D435" s="498" t="s">
        <v>214</v>
      </c>
      <c r="E435" s="396">
        <v>351307</v>
      </c>
      <c r="F435" s="342"/>
      <c r="G435" s="497">
        <f>9.45+103.4</f>
        <v>112.85000000000001</v>
      </c>
      <c r="H435" s="396">
        <v>2832012</v>
      </c>
      <c r="J435" s="521" t="s">
        <v>2136</v>
      </c>
    </row>
    <row r="436" spans="1:19" s="336" customFormat="1" x14ac:dyDescent="0.25">
      <c r="A436" s="460">
        <v>42790</v>
      </c>
      <c r="B436" s="335" t="s">
        <v>127</v>
      </c>
      <c r="C436" s="335" t="s">
        <v>151</v>
      </c>
      <c r="D436" s="498" t="s">
        <v>214</v>
      </c>
      <c r="E436" s="396">
        <v>351307</v>
      </c>
      <c r="F436" s="342"/>
      <c r="G436" s="497">
        <f>4.26+38.6</f>
        <v>42.86</v>
      </c>
      <c r="H436" s="396">
        <v>2836493</v>
      </c>
      <c r="J436" s="521" t="s">
        <v>2136</v>
      </c>
    </row>
    <row r="437" spans="1:19" x14ac:dyDescent="0.25">
      <c r="A437" s="454">
        <v>42786</v>
      </c>
      <c r="B437" s="323" t="s">
        <v>127</v>
      </c>
      <c r="D437" s="494" t="s">
        <v>2130</v>
      </c>
      <c r="E437" s="492">
        <v>214122</v>
      </c>
      <c r="G437" s="502">
        <f>42.25+10</f>
        <v>52.25</v>
      </c>
      <c r="H437" s="502">
        <v>2809351</v>
      </c>
      <c r="J437" s="453" t="s">
        <v>179</v>
      </c>
    </row>
    <row r="438" spans="1:19" s="336" customFormat="1" x14ac:dyDescent="0.25">
      <c r="A438" s="460">
        <v>42788</v>
      </c>
      <c r="B438" s="335" t="s">
        <v>127</v>
      </c>
      <c r="C438" s="335" t="s">
        <v>151</v>
      </c>
      <c r="D438" s="498" t="s">
        <v>243</v>
      </c>
      <c r="E438" s="396">
        <v>350484</v>
      </c>
      <c r="F438" s="342"/>
      <c r="G438" s="497">
        <f>39.48+68.08</f>
        <v>107.56</v>
      </c>
      <c r="H438" s="497">
        <v>2830195</v>
      </c>
      <c r="J438" s="521" t="s">
        <v>2137</v>
      </c>
    </row>
    <row r="439" spans="1:19" s="336" customFormat="1" x14ac:dyDescent="0.25">
      <c r="A439" s="460">
        <v>42786</v>
      </c>
      <c r="B439" s="335" t="s">
        <v>127</v>
      </c>
      <c r="C439" s="335" t="s">
        <v>151</v>
      </c>
      <c r="D439" s="498" t="s">
        <v>213</v>
      </c>
      <c r="E439" s="396">
        <v>350776</v>
      </c>
      <c r="F439" s="342"/>
      <c r="G439" s="497">
        <f>15.66+62.9</f>
        <v>78.56</v>
      </c>
      <c r="H439" s="396">
        <v>2817591</v>
      </c>
      <c r="J439" s="521" t="s">
        <v>2137</v>
      </c>
    </row>
    <row r="440" spans="1:19" s="336" customFormat="1" x14ac:dyDescent="0.25">
      <c r="A440" s="460">
        <v>42788</v>
      </c>
      <c r="B440" s="335" t="s">
        <v>127</v>
      </c>
      <c r="C440" s="335" t="s">
        <v>151</v>
      </c>
      <c r="D440" s="498" t="s">
        <v>213</v>
      </c>
      <c r="E440" s="396">
        <v>350776</v>
      </c>
      <c r="F440" s="342"/>
      <c r="G440" s="497">
        <f>20.09+119.95</f>
        <v>140.04</v>
      </c>
      <c r="H440" s="396">
        <v>2825478</v>
      </c>
      <c r="J440" s="521" t="s">
        <v>2137</v>
      </c>
    </row>
    <row r="441" spans="1:19" s="336" customFormat="1" x14ac:dyDescent="0.25">
      <c r="A441" s="460">
        <v>42788</v>
      </c>
      <c r="B441" s="335" t="s">
        <v>127</v>
      </c>
      <c r="C441" s="335" t="s">
        <v>151</v>
      </c>
      <c r="D441" s="498" t="s">
        <v>213</v>
      </c>
      <c r="E441" s="396">
        <v>350776</v>
      </c>
      <c r="F441" s="342"/>
      <c r="G441" s="497">
        <f>71.06+87.88</f>
        <v>158.94</v>
      </c>
      <c r="H441" s="396">
        <v>2831832</v>
      </c>
      <c r="J441" s="521" t="s">
        <v>2137</v>
      </c>
    </row>
    <row r="442" spans="1:19" x14ac:dyDescent="0.25">
      <c r="A442" s="535">
        <v>42793</v>
      </c>
      <c r="B442" s="323" t="s">
        <v>127</v>
      </c>
      <c r="C442" s="322"/>
      <c r="D442" s="452" t="s">
        <v>181</v>
      </c>
      <c r="E442" s="451">
        <v>351215</v>
      </c>
      <c r="F442" s="550"/>
      <c r="G442" s="534">
        <f>11.25+18.75</f>
        <v>30</v>
      </c>
      <c r="H442" s="534">
        <v>2844296</v>
      </c>
      <c r="I442" s="562"/>
      <c r="J442" s="565" t="s">
        <v>2129</v>
      </c>
      <c r="K442" s="531"/>
      <c r="L442" s="531"/>
      <c r="M442" s="562"/>
      <c r="N442" s="562"/>
      <c r="O442" s="562"/>
      <c r="P442" s="562"/>
      <c r="Q442" s="562"/>
      <c r="R442" s="562"/>
      <c r="S442" s="562"/>
    </row>
    <row r="443" spans="1:19" x14ac:dyDescent="0.25">
      <c r="A443" s="535">
        <v>42792</v>
      </c>
      <c r="B443" s="323" t="s">
        <v>127</v>
      </c>
      <c r="C443" s="322"/>
      <c r="D443" s="452" t="s">
        <v>181</v>
      </c>
      <c r="E443" s="451">
        <v>351215</v>
      </c>
      <c r="F443" s="550"/>
      <c r="G443" s="534">
        <v>70.040000000000006</v>
      </c>
      <c r="H443" s="502">
        <v>2840545</v>
      </c>
      <c r="I443" s="562"/>
      <c r="J443" s="456" t="s">
        <v>182</v>
      </c>
      <c r="K443" s="531"/>
      <c r="L443" s="531"/>
      <c r="M443" s="562"/>
      <c r="N443" s="562"/>
      <c r="O443" s="562"/>
      <c r="P443" s="562"/>
      <c r="Q443" s="562"/>
      <c r="R443" s="562"/>
      <c r="S443" s="562"/>
    </row>
    <row r="444" spans="1:19" x14ac:dyDescent="0.25">
      <c r="A444" s="535">
        <v>42793</v>
      </c>
      <c r="B444" s="323" t="s">
        <v>127</v>
      </c>
      <c r="C444" s="322"/>
      <c r="D444" s="452" t="s">
        <v>181</v>
      </c>
      <c r="E444" s="451">
        <v>351215</v>
      </c>
      <c r="F444" s="550"/>
      <c r="G444" s="534">
        <v>83.69</v>
      </c>
      <c r="H444" s="502">
        <v>2840080</v>
      </c>
      <c r="I444" s="562"/>
      <c r="J444" s="456" t="s">
        <v>182</v>
      </c>
      <c r="K444" s="531"/>
      <c r="L444" s="531"/>
      <c r="M444" s="562"/>
      <c r="N444" s="562"/>
      <c r="O444" s="562"/>
      <c r="P444" s="562"/>
      <c r="Q444" s="562"/>
      <c r="R444" s="562"/>
      <c r="S444" s="562"/>
    </row>
    <row r="445" spans="1:19" x14ac:dyDescent="0.25">
      <c r="A445" s="450">
        <v>42793</v>
      </c>
      <c r="B445" s="323" t="s">
        <v>127</v>
      </c>
      <c r="C445" s="322"/>
      <c r="D445" s="452" t="s">
        <v>181</v>
      </c>
      <c r="E445" s="451">
        <v>351215</v>
      </c>
      <c r="F445" s="550"/>
      <c r="G445" s="534">
        <v>41.95</v>
      </c>
      <c r="H445" s="502">
        <v>2841014</v>
      </c>
      <c r="I445" s="562"/>
      <c r="J445" s="456" t="s">
        <v>182</v>
      </c>
      <c r="K445" s="531"/>
      <c r="L445" s="531"/>
      <c r="M445" s="562"/>
      <c r="N445" s="562"/>
      <c r="O445" s="562"/>
      <c r="P445" s="562"/>
      <c r="Q445" s="562"/>
      <c r="R445" s="562"/>
      <c r="S445" s="562"/>
    </row>
    <row r="446" spans="1:19" x14ac:dyDescent="0.25">
      <c r="A446" s="535">
        <v>42794</v>
      </c>
      <c r="B446" s="323" t="s">
        <v>127</v>
      </c>
      <c r="C446" s="322"/>
      <c r="D446" s="452" t="s">
        <v>181</v>
      </c>
      <c r="E446" s="451">
        <v>351215</v>
      </c>
      <c r="F446" s="550"/>
      <c r="G446" s="534">
        <v>100</v>
      </c>
      <c r="H446" s="502">
        <v>2845894</v>
      </c>
      <c r="I446" s="562"/>
      <c r="J446" s="456" t="s">
        <v>182</v>
      </c>
      <c r="K446" s="531"/>
      <c r="L446" s="531"/>
      <c r="M446" s="562"/>
      <c r="N446" s="562"/>
      <c r="O446" s="562"/>
      <c r="P446" s="562"/>
      <c r="Q446" s="562"/>
      <c r="R446" s="562"/>
      <c r="S446" s="562"/>
    </row>
    <row r="447" spans="1:19" s="336" customFormat="1" x14ac:dyDescent="0.25">
      <c r="A447" s="449">
        <v>42793</v>
      </c>
      <c r="B447" s="335" t="s">
        <v>127</v>
      </c>
      <c r="C447" s="335" t="s">
        <v>151</v>
      </c>
      <c r="D447" s="498" t="s">
        <v>243</v>
      </c>
      <c r="E447" s="396">
        <v>350484</v>
      </c>
      <c r="F447" s="342"/>
      <c r="G447" s="528">
        <f>13.19+48</f>
        <v>61.19</v>
      </c>
      <c r="H447" s="396">
        <v>2839143</v>
      </c>
      <c r="J447" s="521" t="s">
        <v>2138</v>
      </c>
      <c r="K447" s="521"/>
      <c r="L447" s="521"/>
    </row>
    <row r="448" spans="1:19" s="336" customFormat="1" x14ac:dyDescent="0.25">
      <c r="A448" s="449">
        <v>42793</v>
      </c>
      <c r="B448" s="335" t="s">
        <v>127</v>
      </c>
      <c r="C448" s="335" t="s">
        <v>151</v>
      </c>
      <c r="D448" s="498" t="s">
        <v>243</v>
      </c>
      <c r="E448" s="396">
        <v>350484</v>
      </c>
      <c r="F448" s="342"/>
      <c r="G448" s="528">
        <f>25.49+32.48</f>
        <v>57.97</v>
      </c>
      <c r="H448" s="396">
        <v>2840427</v>
      </c>
      <c r="J448" s="521" t="s">
        <v>2138</v>
      </c>
      <c r="K448" s="521"/>
      <c r="L448" s="521"/>
    </row>
    <row r="449" spans="1:12" s="336" customFormat="1" x14ac:dyDescent="0.25">
      <c r="A449" s="449">
        <v>42793</v>
      </c>
      <c r="B449" s="335" t="s">
        <v>127</v>
      </c>
      <c r="C449" s="335" t="s">
        <v>151</v>
      </c>
      <c r="D449" s="498" t="s">
        <v>243</v>
      </c>
      <c r="E449" s="396">
        <v>350484</v>
      </c>
      <c r="F449" s="342"/>
      <c r="G449" s="528">
        <f>66.36+286.64</f>
        <v>353</v>
      </c>
      <c r="H449" s="396">
        <v>2841718</v>
      </c>
      <c r="J449" s="521" t="s">
        <v>2138</v>
      </c>
      <c r="K449" s="521"/>
      <c r="L449" s="521"/>
    </row>
    <row r="450" spans="1:12" s="336" customFormat="1" x14ac:dyDescent="0.25">
      <c r="A450" s="449">
        <v>42793</v>
      </c>
      <c r="B450" s="335" t="s">
        <v>127</v>
      </c>
      <c r="C450" s="335" t="s">
        <v>151</v>
      </c>
      <c r="D450" s="498" t="s">
        <v>212</v>
      </c>
      <c r="E450" s="396">
        <v>350843</v>
      </c>
      <c r="F450" s="342"/>
      <c r="G450" s="528">
        <f>13.55+66.54</f>
        <v>80.09</v>
      </c>
      <c r="H450" s="396">
        <v>2840778</v>
      </c>
      <c r="J450" s="521" t="s">
        <v>2138</v>
      </c>
      <c r="K450" s="521"/>
      <c r="L450" s="521"/>
    </row>
    <row r="451" spans="1:12" s="336" customFormat="1" x14ac:dyDescent="0.25">
      <c r="A451" s="530">
        <v>42794</v>
      </c>
      <c r="B451" s="335" t="s">
        <v>127</v>
      </c>
      <c r="C451" s="335" t="s">
        <v>151</v>
      </c>
      <c r="D451" s="498" t="s">
        <v>212</v>
      </c>
      <c r="E451" s="396">
        <v>350843</v>
      </c>
      <c r="F451" s="342"/>
      <c r="G451" s="528">
        <f>13.18+43.42</f>
        <v>56.6</v>
      </c>
      <c r="H451" s="396">
        <v>2843481</v>
      </c>
      <c r="J451" s="521" t="s">
        <v>2138</v>
      </c>
      <c r="K451" s="521"/>
      <c r="L451" s="521"/>
    </row>
    <row r="452" spans="1:12" s="336" customFormat="1" x14ac:dyDescent="0.25">
      <c r="A452" s="530">
        <v>42794</v>
      </c>
      <c r="B452" s="335" t="s">
        <v>127</v>
      </c>
      <c r="C452" s="335" t="s">
        <v>151</v>
      </c>
      <c r="D452" s="498" t="s">
        <v>212</v>
      </c>
      <c r="E452" s="396">
        <v>350843</v>
      </c>
      <c r="F452" s="342"/>
      <c r="G452" s="528">
        <f>38.37+79.96</f>
        <v>118.32999999999998</v>
      </c>
      <c r="H452" s="396">
        <v>2846829</v>
      </c>
      <c r="J452" s="521" t="s">
        <v>2138</v>
      </c>
      <c r="K452" s="521"/>
      <c r="L452" s="521"/>
    </row>
    <row r="453" spans="1:12" s="336" customFormat="1" x14ac:dyDescent="0.25">
      <c r="A453" s="530">
        <v>42794</v>
      </c>
      <c r="B453" s="335" t="s">
        <v>127</v>
      </c>
      <c r="C453" s="335" t="s">
        <v>151</v>
      </c>
      <c r="D453" s="498" t="s">
        <v>216</v>
      </c>
      <c r="E453" s="396">
        <v>350875</v>
      </c>
      <c r="F453" s="342"/>
      <c r="G453" s="528">
        <f>134.03+23.27</f>
        <v>157.30000000000001</v>
      </c>
      <c r="H453" s="396">
        <v>2839080</v>
      </c>
      <c r="J453" s="521" t="s">
        <v>2138</v>
      </c>
      <c r="K453" s="521"/>
      <c r="L453" s="521"/>
    </row>
    <row r="454" spans="1:12" s="336" customFormat="1" x14ac:dyDescent="0.25">
      <c r="A454" s="449">
        <v>42793</v>
      </c>
      <c r="B454" s="335" t="s">
        <v>127</v>
      </c>
      <c r="C454" s="335" t="s">
        <v>151</v>
      </c>
      <c r="D454" s="498" t="s">
        <v>214</v>
      </c>
      <c r="E454" s="396">
        <v>351307</v>
      </c>
      <c r="F454" s="342"/>
      <c r="G454" s="528">
        <f>21.65+100.65</f>
        <v>122.30000000000001</v>
      </c>
      <c r="H454" s="396">
        <v>2835271</v>
      </c>
      <c r="J454" s="521" t="s">
        <v>2138</v>
      </c>
      <c r="K454" s="521"/>
      <c r="L454" s="521"/>
    </row>
    <row r="455" spans="1:12" s="336" customFormat="1" x14ac:dyDescent="0.25">
      <c r="A455" s="449">
        <v>42793</v>
      </c>
      <c r="B455" s="335" t="s">
        <v>127</v>
      </c>
      <c r="C455" s="335" t="s">
        <v>151</v>
      </c>
      <c r="D455" s="498" t="s">
        <v>214</v>
      </c>
      <c r="E455" s="396">
        <v>351307</v>
      </c>
      <c r="F455" s="342"/>
      <c r="G455" s="528">
        <f>3.99+41.96</f>
        <v>45.95</v>
      </c>
      <c r="H455" s="396">
        <v>2836928</v>
      </c>
      <c r="J455" s="521" t="s">
        <v>2138</v>
      </c>
      <c r="K455" s="521"/>
      <c r="L455" s="521"/>
    </row>
    <row r="456" spans="1:12" s="336" customFormat="1" x14ac:dyDescent="0.25">
      <c r="A456" s="449">
        <v>42793</v>
      </c>
      <c r="B456" s="335" t="s">
        <v>127</v>
      </c>
      <c r="C456" s="335" t="s">
        <v>151</v>
      </c>
      <c r="D456" s="498" t="s">
        <v>214</v>
      </c>
      <c r="E456" s="396">
        <v>351307</v>
      </c>
      <c r="F456" s="342"/>
      <c r="G456" s="528">
        <f>14.22+49.05</f>
        <v>63.269999999999996</v>
      </c>
      <c r="H456" s="396">
        <v>2841926</v>
      </c>
      <c r="J456" s="521" t="s">
        <v>2138</v>
      </c>
      <c r="K456" s="521"/>
      <c r="L456" s="521"/>
    </row>
    <row r="457" spans="1:12" s="336" customFormat="1" ht="19.7" customHeight="1" x14ac:dyDescent="0.25">
      <c r="A457" s="530">
        <v>42794</v>
      </c>
      <c r="B457" s="335" t="s">
        <v>127</v>
      </c>
      <c r="C457" s="335" t="s">
        <v>151</v>
      </c>
      <c r="D457" s="498" t="s">
        <v>214</v>
      </c>
      <c r="E457" s="396">
        <v>351307</v>
      </c>
      <c r="F457" s="342"/>
      <c r="G457" s="528">
        <f>3.76+36.15</f>
        <v>39.909999999999997</v>
      </c>
      <c r="H457" s="396">
        <v>2846088</v>
      </c>
      <c r="J457" s="521" t="s">
        <v>2138</v>
      </c>
      <c r="K457" s="521"/>
      <c r="L457" s="521"/>
    </row>
    <row r="458" spans="1:12" s="336" customFormat="1" ht="19.7" customHeight="1" x14ac:dyDescent="0.25">
      <c r="A458" s="547" t="s">
        <v>2140</v>
      </c>
      <c r="B458" s="335" t="s">
        <v>0</v>
      </c>
      <c r="C458" s="335" t="s">
        <v>238</v>
      </c>
      <c r="D458" s="448" t="s">
        <v>2141</v>
      </c>
      <c r="E458" s="545">
        <v>350627</v>
      </c>
      <c r="F458" s="545">
        <v>857857</v>
      </c>
      <c r="G458" s="528">
        <v>57.19</v>
      </c>
      <c r="J458" s="545" t="s">
        <v>2161</v>
      </c>
    </row>
    <row r="459" spans="1:12" s="336" customFormat="1" ht="19.7" customHeight="1" x14ac:dyDescent="0.25">
      <c r="A459" s="547" t="s">
        <v>2140</v>
      </c>
      <c r="B459" s="335" t="s">
        <v>0</v>
      </c>
      <c r="C459" s="335" t="s">
        <v>238</v>
      </c>
      <c r="D459" s="448" t="s">
        <v>2142</v>
      </c>
      <c r="E459" s="545">
        <v>350471</v>
      </c>
      <c r="F459" s="545">
        <v>857623</v>
      </c>
      <c r="G459" s="528">
        <v>29.95</v>
      </c>
      <c r="J459" s="545" t="s">
        <v>2161</v>
      </c>
    </row>
    <row r="460" spans="1:12" s="336" customFormat="1" ht="19.7" customHeight="1" x14ac:dyDescent="0.25">
      <c r="A460" s="547" t="s">
        <v>2140</v>
      </c>
      <c r="B460" s="335" t="s">
        <v>0</v>
      </c>
      <c r="C460" s="335" t="s">
        <v>238</v>
      </c>
      <c r="D460" s="448" t="s">
        <v>2143</v>
      </c>
      <c r="E460" s="545">
        <v>352891</v>
      </c>
      <c r="F460" s="545">
        <v>849825</v>
      </c>
      <c r="G460" s="528">
        <v>50.99</v>
      </c>
      <c r="J460" s="545" t="s">
        <v>2161</v>
      </c>
    </row>
    <row r="461" spans="1:12" s="336" customFormat="1" ht="19.7" customHeight="1" x14ac:dyDescent="0.25">
      <c r="A461" s="547" t="s">
        <v>2140</v>
      </c>
      <c r="B461" s="335" t="s">
        <v>0</v>
      </c>
      <c r="C461" s="335" t="s">
        <v>238</v>
      </c>
      <c r="D461" s="448" t="s">
        <v>2144</v>
      </c>
      <c r="E461" s="545">
        <v>352980</v>
      </c>
      <c r="F461" s="545"/>
      <c r="G461" s="528">
        <v>52.39</v>
      </c>
      <c r="J461" s="513" t="s">
        <v>2162</v>
      </c>
    </row>
    <row r="462" spans="1:12" s="336" customFormat="1" ht="19.7" customHeight="1" x14ac:dyDescent="0.25">
      <c r="A462" s="547" t="s">
        <v>2140</v>
      </c>
      <c r="B462" s="335" t="s">
        <v>0</v>
      </c>
      <c r="C462" s="335" t="s">
        <v>238</v>
      </c>
      <c r="D462" s="448" t="s">
        <v>2145</v>
      </c>
      <c r="E462" s="545">
        <v>351694</v>
      </c>
      <c r="F462" s="545">
        <v>860015</v>
      </c>
      <c r="G462" s="528">
        <v>56.66</v>
      </c>
      <c r="J462" s="545" t="s">
        <v>2161</v>
      </c>
    </row>
    <row r="463" spans="1:12" s="336" customFormat="1" ht="19.7" customHeight="1" x14ac:dyDescent="0.25">
      <c r="A463" s="547" t="s">
        <v>2140</v>
      </c>
      <c r="B463" s="335" t="s">
        <v>0</v>
      </c>
      <c r="C463" s="335" t="s">
        <v>238</v>
      </c>
      <c r="D463" s="448" t="s">
        <v>2146</v>
      </c>
      <c r="E463" s="545">
        <v>351894</v>
      </c>
      <c r="F463" s="545">
        <v>858009</v>
      </c>
      <c r="G463" s="528">
        <v>64.61</v>
      </c>
      <c r="J463" s="545" t="s">
        <v>2161</v>
      </c>
    </row>
    <row r="464" spans="1:12" s="336" customFormat="1" ht="19.7" customHeight="1" x14ac:dyDescent="0.25">
      <c r="A464" s="547" t="s">
        <v>2140</v>
      </c>
      <c r="B464" s="335" t="s">
        <v>0</v>
      </c>
      <c r="C464" s="335" t="s">
        <v>238</v>
      </c>
      <c r="D464" s="448" t="s">
        <v>1237</v>
      </c>
      <c r="E464" s="545">
        <v>352432</v>
      </c>
      <c r="F464" s="545">
        <v>848258</v>
      </c>
      <c r="G464" s="528">
        <v>72.900000000000006</v>
      </c>
      <c r="J464" s="545" t="s">
        <v>2161</v>
      </c>
    </row>
    <row r="465" spans="1:19" s="336" customFormat="1" ht="19.7" customHeight="1" x14ac:dyDescent="0.25">
      <c r="A465" s="547" t="s">
        <v>2140</v>
      </c>
      <c r="B465" s="335" t="s">
        <v>0</v>
      </c>
      <c r="C465" s="336" t="s">
        <v>238</v>
      </c>
      <c r="D465" s="448" t="s">
        <v>2147</v>
      </c>
      <c r="E465" s="545">
        <v>352152</v>
      </c>
      <c r="F465" s="545">
        <v>835907</v>
      </c>
      <c r="G465" s="528">
        <v>93.8</v>
      </c>
      <c r="J465" s="545" t="s">
        <v>2161</v>
      </c>
    </row>
    <row r="466" spans="1:19" s="336" customFormat="1" ht="19.7" customHeight="1" x14ac:dyDescent="0.25">
      <c r="A466" s="547" t="s">
        <v>2140</v>
      </c>
      <c r="B466" s="335" t="s">
        <v>0</v>
      </c>
      <c r="C466" s="335" t="s">
        <v>238</v>
      </c>
      <c r="D466" s="447">
        <v>376236447995</v>
      </c>
      <c r="E466" s="545">
        <v>226427</v>
      </c>
      <c r="F466" s="545">
        <v>856198</v>
      </c>
      <c r="G466" s="528">
        <v>95.13</v>
      </c>
      <c r="J466" s="545" t="s">
        <v>2161</v>
      </c>
    </row>
    <row r="467" spans="1:19" s="336" customFormat="1" ht="19.7" customHeight="1" x14ac:dyDescent="0.25">
      <c r="A467" s="547" t="s">
        <v>2140</v>
      </c>
      <c r="B467" s="335" t="s">
        <v>0</v>
      </c>
      <c r="C467" s="335" t="s">
        <v>238</v>
      </c>
      <c r="D467" s="448" t="s">
        <v>2046</v>
      </c>
      <c r="E467" s="545">
        <v>351274</v>
      </c>
      <c r="F467" s="545">
        <v>863255</v>
      </c>
      <c r="G467" s="528">
        <v>96.41</v>
      </c>
      <c r="J467" s="545" t="s">
        <v>2161</v>
      </c>
    </row>
    <row r="468" spans="1:19" s="336" customFormat="1" ht="19.7" customHeight="1" x14ac:dyDescent="0.25">
      <c r="A468" s="547" t="s">
        <v>2140</v>
      </c>
      <c r="B468" s="335" t="s">
        <v>0</v>
      </c>
      <c r="C468" s="335" t="s">
        <v>238</v>
      </c>
      <c r="D468" s="448" t="s">
        <v>2148</v>
      </c>
      <c r="E468" s="545">
        <v>351649</v>
      </c>
      <c r="F468" s="545">
        <v>860346</v>
      </c>
      <c r="G468" s="528">
        <v>103.51</v>
      </c>
      <c r="J468" s="545" t="s">
        <v>2161</v>
      </c>
    </row>
    <row r="469" spans="1:19" s="409" customFormat="1" ht="19.7" customHeight="1" x14ac:dyDescent="0.25">
      <c r="A469" s="410" t="s">
        <v>2140</v>
      </c>
      <c r="B469" s="327" t="s">
        <v>0</v>
      </c>
      <c r="C469" s="584" t="s">
        <v>238</v>
      </c>
      <c r="D469" s="511" t="s">
        <v>2149</v>
      </c>
      <c r="E469" s="426">
        <v>35002</v>
      </c>
      <c r="F469" s="426">
        <v>845889</v>
      </c>
      <c r="G469" s="445">
        <v>38.950000000000003</v>
      </c>
      <c r="H469" s="328"/>
      <c r="I469" s="328"/>
      <c r="J469" s="426" t="s">
        <v>44</v>
      </c>
      <c r="K469" s="328"/>
      <c r="L469" s="328"/>
      <c r="M469" s="328"/>
      <c r="N469" s="328"/>
      <c r="O469" s="328"/>
      <c r="P469" s="328"/>
      <c r="Q469" s="328"/>
      <c r="R469" s="328"/>
      <c r="S469" s="328"/>
    </row>
    <row r="470" spans="1:19" s="336" customFormat="1" ht="19.7" customHeight="1" x14ac:dyDescent="0.25">
      <c r="A470" s="547" t="s">
        <v>2140</v>
      </c>
      <c r="B470" s="335" t="s">
        <v>0</v>
      </c>
      <c r="C470" s="335" t="s">
        <v>238</v>
      </c>
      <c r="D470" s="448" t="s">
        <v>1975</v>
      </c>
      <c r="E470" s="545">
        <v>351293</v>
      </c>
      <c r="F470" s="545">
        <v>860066</v>
      </c>
      <c r="G470" s="528">
        <v>153.80000000000001</v>
      </c>
      <c r="J470" s="545" t="s">
        <v>2161</v>
      </c>
    </row>
    <row r="471" spans="1:19" ht="19.7" customHeight="1" x14ac:dyDescent="0.25">
      <c r="A471" s="555" t="s">
        <v>2140</v>
      </c>
      <c r="B471" s="323" t="s">
        <v>58</v>
      </c>
      <c r="D471" s="446" t="s">
        <v>2150</v>
      </c>
      <c r="E471" s="553">
        <v>350406</v>
      </c>
      <c r="F471" s="553">
        <v>284889</v>
      </c>
      <c r="G471" s="445">
        <v>175.45</v>
      </c>
      <c r="J471" s="553" t="s">
        <v>2155</v>
      </c>
    </row>
    <row r="472" spans="1:19" s="336" customFormat="1" ht="19.7" customHeight="1" x14ac:dyDescent="0.25">
      <c r="A472" s="547" t="s">
        <v>2140</v>
      </c>
      <c r="B472" s="335" t="s">
        <v>0</v>
      </c>
      <c r="C472" s="335" t="s">
        <v>238</v>
      </c>
      <c r="D472" s="448" t="s">
        <v>2151</v>
      </c>
      <c r="E472" s="545">
        <v>213229</v>
      </c>
      <c r="F472" s="545">
        <v>860187</v>
      </c>
      <c r="G472" s="528">
        <v>204.12</v>
      </c>
      <c r="J472" s="545" t="s">
        <v>2161</v>
      </c>
    </row>
    <row r="473" spans="1:19" s="336" customFormat="1" ht="19.7" customHeight="1" x14ac:dyDescent="0.25">
      <c r="A473" s="547" t="s">
        <v>2140</v>
      </c>
      <c r="B473" s="335" t="s">
        <v>0</v>
      </c>
      <c r="C473" s="335" t="s">
        <v>238</v>
      </c>
      <c r="D473" s="448" t="s">
        <v>241</v>
      </c>
      <c r="E473" s="545">
        <v>350531</v>
      </c>
      <c r="F473" s="545">
        <v>856058</v>
      </c>
      <c r="G473" s="528">
        <v>112.65</v>
      </c>
      <c r="J473" s="545" t="s">
        <v>2161</v>
      </c>
    </row>
    <row r="474" spans="1:19" s="336" customFormat="1" ht="19.7" customHeight="1" x14ac:dyDescent="0.25">
      <c r="A474" s="547" t="s">
        <v>2140</v>
      </c>
      <c r="B474" s="335" t="s">
        <v>0</v>
      </c>
      <c r="C474" s="335" t="s">
        <v>238</v>
      </c>
      <c r="D474" s="448" t="s">
        <v>2152</v>
      </c>
      <c r="E474" s="545">
        <v>351558</v>
      </c>
      <c r="F474" s="545">
        <v>1858244</v>
      </c>
      <c r="G474" s="528">
        <v>262.95</v>
      </c>
      <c r="J474" s="545" t="s">
        <v>2161</v>
      </c>
    </row>
    <row r="475" spans="1:19" s="336" customFormat="1" ht="19.7" customHeight="1" x14ac:dyDescent="0.25">
      <c r="A475" s="547" t="s">
        <v>2140</v>
      </c>
      <c r="B475" s="335" t="s">
        <v>0</v>
      </c>
      <c r="C475" s="335" t="s">
        <v>2239</v>
      </c>
      <c r="D475" s="448" t="s">
        <v>2153</v>
      </c>
      <c r="E475" s="545">
        <v>351194</v>
      </c>
      <c r="F475" s="545">
        <v>853308</v>
      </c>
      <c r="G475" s="528">
        <v>85.95</v>
      </c>
      <c r="J475" s="545" t="s">
        <v>2161</v>
      </c>
    </row>
    <row r="476" spans="1:19" s="336" customFormat="1" ht="19.7" customHeight="1" x14ac:dyDescent="0.25">
      <c r="A476" s="547" t="s">
        <v>2140</v>
      </c>
      <c r="B476" s="335" t="s">
        <v>0</v>
      </c>
      <c r="C476" s="335" t="s">
        <v>238</v>
      </c>
      <c r="D476" s="448" t="s">
        <v>2153</v>
      </c>
      <c r="E476" s="545">
        <v>351194</v>
      </c>
      <c r="F476" s="545">
        <v>846166</v>
      </c>
      <c r="G476" s="528">
        <v>115.43</v>
      </c>
      <c r="J476" s="545" t="s">
        <v>2161</v>
      </c>
    </row>
    <row r="477" spans="1:19" s="336" customFormat="1" ht="19.7" customHeight="1" x14ac:dyDescent="0.25">
      <c r="A477" s="547" t="s">
        <v>2140</v>
      </c>
      <c r="B477" s="335" t="s">
        <v>0</v>
      </c>
      <c r="C477" s="335" t="s">
        <v>238</v>
      </c>
      <c r="D477" s="448" t="s">
        <v>2153</v>
      </c>
      <c r="E477" s="545">
        <v>351194</v>
      </c>
      <c r="F477" s="545">
        <v>846964</v>
      </c>
      <c r="G477" s="528">
        <v>63.95</v>
      </c>
      <c r="J477" s="545" t="s">
        <v>2161</v>
      </c>
    </row>
    <row r="478" spans="1:19" s="336" customFormat="1" ht="19.7" customHeight="1" x14ac:dyDescent="0.25">
      <c r="A478" s="547" t="s">
        <v>2140</v>
      </c>
      <c r="B478" s="335" t="s">
        <v>0</v>
      </c>
      <c r="C478" s="335" t="s">
        <v>238</v>
      </c>
      <c r="D478" s="448" t="s">
        <v>2154</v>
      </c>
      <c r="E478" s="545">
        <v>352298</v>
      </c>
      <c r="F478" s="545"/>
      <c r="G478" s="528">
        <v>453.7</v>
      </c>
      <c r="J478" s="545" t="s">
        <v>2174</v>
      </c>
    </row>
    <row r="479" spans="1:19" s="336" customFormat="1" ht="19.7" customHeight="1" x14ac:dyDescent="0.25">
      <c r="A479" s="547" t="s">
        <v>2140</v>
      </c>
      <c r="B479" s="335" t="s">
        <v>0</v>
      </c>
      <c r="C479" s="335" t="s">
        <v>238</v>
      </c>
      <c r="D479" s="448" t="s">
        <v>2071</v>
      </c>
      <c r="E479" s="448">
        <v>351849</v>
      </c>
      <c r="F479" s="545">
        <v>852920</v>
      </c>
      <c r="G479" s="528">
        <v>31.01</v>
      </c>
      <c r="J479" s="545" t="s">
        <v>2161</v>
      </c>
    </row>
    <row r="480" spans="1:19" ht="19.7" customHeight="1" x14ac:dyDescent="0.25">
      <c r="A480" s="432" t="s">
        <v>2175</v>
      </c>
      <c r="B480" s="439" t="s">
        <v>0</v>
      </c>
      <c r="C480" s="2" t="s">
        <v>2685</v>
      </c>
      <c r="D480" s="431" t="s">
        <v>2166</v>
      </c>
      <c r="E480" s="436">
        <v>221729</v>
      </c>
      <c r="F480" s="436">
        <v>883163</v>
      </c>
      <c r="G480" s="430">
        <v>59.9</v>
      </c>
      <c r="H480" s="429"/>
      <c r="I480" s="438"/>
      <c r="J480" s="428" t="s">
        <v>2176</v>
      </c>
      <c r="K480" s="438"/>
      <c r="L480" s="438"/>
      <c r="M480" s="438"/>
      <c r="N480" s="438"/>
      <c r="O480" s="438"/>
      <c r="P480" s="438"/>
      <c r="Q480" s="438"/>
      <c r="R480" s="438"/>
      <c r="S480" s="438"/>
    </row>
    <row r="481" spans="1:19" x14ac:dyDescent="0.25">
      <c r="A481" s="547" t="s">
        <v>2193</v>
      </c>
      <c r="B481" s="336" t="s">
        <v>0</v>
      </c>
      <c r="C481" s="336" t="s">
        <v>238</v>
      </c>
      <c r="D481" s="423" t="s">
        <v>2153</v>
      </c>
      <c r="E481" s="545">
        <v>351194</v>
      </c>
      <c r="F481" s="545">
        <v>927877</v>
      </c>
      <c r="G481" s="422">
        <v>71.95</v>
      </c>
      <c r="H481" s="336"/>
      <c r="I481" s="336"/>
      <c r="J481" s="545" t="s">
        <v>6</v>
      </c>
      <c r="K481" s="336"/>
      <c r="L481" s="336"/>
      <c r="M481" s="336"/>
      <c r="N481" s="336"/>
      <c r="O481" s="336"/>
      <c r="P481" s="336"/>
      <c r="Q481" s="336"/>
      <c r="R481" s="336"/>
      <c r="S481" s="336"/>
    </row>
    <row r="482" spans="1:19" x14ac:dyDescent="0.25">
      <c r="A482" s="555" t="s">
        <v>2193</v>
      </c>
      <c r="B482" s="2" t="s">
        <v>0</v>
      </c>
      <c r="C482" s="336" t="s">
        <v>238</v>
      </c>
      <c r="D482" s="421" t="s">
        <v>1983</v>
      </c>
      <c r="E482" s="553">
        <v>352036</v>
      </c>
      <c r="F482" s="553">
        <v>894561</v>
      </c>
      <c r="G482" s="420">
        <v>-75.45</v>
      </c>
      <c r="J482" s="553" t="s">
        <v>2284</v>
      </c>
    </row>
    <row r="483" spans="1:19" s="336" customFormat="1" x14ac:dyDescent="0.25">
      <c r="A483" s="555" t="s">
        <v>2193</v>
      </c>
      <c r="B483" s="2" t="s">
        <v>0</v>
      </c>
      <c r="C483" s="336" t="s">
        <v>238</v>
      </c>
      <c r="D483" s="421" t="s">
        <v>1983</v>
      </c>
      <c r="E483" s="553">
        <v>352036</v>
      </c>
      <c r="F483" s="553">
        <v>927666</v>
      </c>
      <c r="G483" s="420">
        <v>94.12</v>
      </c>
      <c r="H483" s="2"/>
      <c r="I483" s="2"/>
      <c r="J483" s="553" t="s">
        <v>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336" customFormat="1" x14ac:dyDescent="0.25">
      <c r="A484" s="547" t="s">
        <v>2193</v>
      </c>
      <c r="B484" s="336" t="s">
        <v>0</v>
      </c>
      <c r="C484" s="336" t="s">
        <v>238</v>
      </c>
      <c r="D484" s="423" t="s">
        <v>2194</v>
      </c>
      <c r="E484" s="545">
        <v>1126</v>
      </c>
      <c r="F484" s="545">
        <v>930191</v>
      </c>
      <c r="G484" s="422">
        <v>33.950000000000003</v>
      </c>
      <c r="J484" s="545" t="s">
        <v>2240</v>
      </c>
    </row>
    <row r="485" spans="1:19" s="336" customFormat="1" x14ac:dyDescent="0.25">
      <c r="A485" s="547" t="s">
        <v>2193</v>
      </c>
      <c r="B485" s="336" t="s">
        <v>0</v>
      </c>
      <c r="C485" s="336" t="s">
        <v>238</v>
      </c>
      <c r="D485" s="423" t="s">
        <v>1266</v>
      </c>
      <c r="E485" s="545">
        <v>350923</v>
      </c>
      <c r="F485" s="545">
        <v>927024</v>
      </c>
      <c r="G485" s="422">
        <v>35.020000000000003</v>
      </c>
      <c r="J485" s="545" t="s">
        <v>2240</v>
      </c>
    </row>
    <row r="486" spans="1:19" s="336" customFormat="1" x14ac:dyDescent="0.25">
      <c r="A486" s="555" t="s">
        <v>2193</v>
      </c>
      <c r="B486" s="2" t="s">
        <v>0</v>
      </c>
      <c r="C486" s="2"/>
      <c r="D486" s="421" t="s">
        <v>2195</v>
      </c>
      <c r="E486" s="553">
        <v>216348</v>
      </c>
      <c r="F486" s="553">
        <v>878943</v>
      </c>
      <c r="G486" s="420">
        <v>35.9</v>
      </c>
      <c r="H486" s="2">
        <v>2878943</v>
      </c>
      <c r="I486" s="2"/>
      <c r="J486" s="545" t="s">
        <v>2240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5">
      <c r="A487" s="547" t="s">
        <v>2193</v>
      </c>
      <c r="B487" s="336" t="s">
        <v>0</v>
      </c>
      <c r="C487" s="336" t="s">
        <v>238</v>
      </c>
      <c r="D487" s="423" t="s">
        <v>1970</v>
      </c>
      <c r="E487" s="545">
        <v>352312</v>
      </c>
      <c r="F487" s="545">
        <v>927631</v>
      </c>
      <c r="G487" s="422">
        <v>36.83</v>
      </c>
      <c r="H487" s="336"/>
      <c r="I487" s="336"/>
      <c r="J487" s="545" t="s">
        <v>2240</v>
      </c>
      <c r="K487" s="336"/>
      <c r="L487" s="336"/>
      <c r="M487" s="336"/>
      <c r="N487" s="336"/>
      <c r="O487" s="336"/>
      <c r="P487" s="336"/>
      <c r="Q487" s="336"/>
      <c r="R487" s="336"/>
      <c r="S487" s="336"/>
    </row>
    <row r="488" spans="1:19" x14ac:dyDescent="0.25">
      <c r="A488" s="547" t="s">
        <v>2193</v>
      </c>
      <c r="B488" s="336" t="s">
        <v>0</v>
      </c>
      <c r="C488" s="336" t="s">
        <v>238</v>
      </c>
      <c r="D488" s="419">
        <v>376264466990</v>
      </c>
      <c r="E488" s="545">
        <v>350374</v>
      </c>
      <c r="F488" s="545">
        <v>927808</v>
      </c>
      <c r="G488" s="422">
        <v>39.49</v>
      </c>
      <c r="H488" s="336"/>
      <c r="I488" s="336"/>
      <c r="J488" s="545" t="s">
        <v>2240</v>
      </c>
      <c r="K488" s="336"/>
      <c r="L488" s="336"/>
      <c r="M488" s="336"/>
      <c r="N488" s="336"/>
      <c r="O488" s="336"/>
      <c r="P488" s="336"/>
      <c r="Q488" s="336"/>
      <c r="R488" s="336"/>
      <c r="S488" s="336"/>
    </row>
    <row r="489" spans="1:19" x14ac:dyDescent="0.25">
      <c r="A489" s="547" t="s">
        <v>2193</v>
      </c>
      <c r="B489" s="336" t="s">
        <v>0</v>
      </c>
      <c r="C489" s="336" t="s">
        <v>238</v>
      </c>
      <c r="D489" s="423" t="s">
        <v>2196</v>
      </c>
      <c r="E489" s="545">
        <v>226928</v>
      </c>
      <c r="F489" s="545">
        <v>928009</v>
      </c>
      <c r="G489" s="422">
        <v>39.81</v>
      </c>
      <c r="H489" s="336"/>
      <c r="I489" s="336"/>
      <c r="J489" s="545" t="s">
        <v>2240</v>
      </c>
      <c r="K489" s="336"/>
      <c r="L489" s="336"/>
      <c r="M489" s="336"/>
      <c r="N489" s="336"/>
      <c r="O489" s="336"/>
      <c r="P489" s="336"/>
      <c r="Q489" s="336"/>
      <c r="R489" s="336"/>
      <c r="S489" s="336"/>
    </row>
    <row r="490" spans="1:19" x14ac:dyDescent="0.25">
      <c r="A490" s="547" t="s">
        <v>2193</v>
      </c>
      <c r="B490" s="336" t="s">
        <v>0</v>
      </c>
      <c r="C490" s="335" t="s">
        <v>238</v>
      </c>
      <c r="D490" s="423" t="s">
        <v>2197</v>
      </c>
      <c r="E490" s="545">
        <v>213316</v>
      </c>
      <c r="F490" s="545">
        <v>926940</v>
      </c>
      <c r="G490" s="422">
        <v>40.090000000000003</v>
      </c>
      <c r="H490" s="336"/>
      <c r="I490" s="336"/>
      <c r="J490" s="545" t="s">
        <v>2240</v>
      </c>
      <c r="K490" s="336"/>
      <c r="L490" s="336"/>
      <c r="M490" s="336"/>
      <c r="N490" s="336"/>
      <c r="O490" s="336"/>
      <c r="P490" s="336"/>
      <c r="Q490" s="336"/>
      <c r="R490" s="336"/>
      <c r="S490" s="336"/>
    </row>
    <row r="491" spans="1:19" s="336" customFormat="1" x14ac:dyDescent="0.25">
      <c r="A491" s="547" t="s">
        <v>2193</v>
      </c>
      <c r="B491" s="336" t="s">
        <v>0</v>
      </c>
      <c r="C491" s="335" t="s">
        <v>238</v>
      </c>
      <c r="D491" s="419">
        <v>376259517997</v>
      </c>
      <c r="E491" s="545">
        <v>213906</v>
      </c>
      <c r="F491" s="545">
        <v>927891</v>
      </c>
      <c r="G491" s="422">
        <v>40.18</v>
      </c>
      <c r="J491" s="545" t="s">
        <v>2240</v>
      </c>
    </row>
    <row r="492" spans="1:19" x14ac:dyDescent="0.25">
      <c r="A492" s="547" t="s">
        <v>2193</v>
      </c>
      <c r="B492" s="336" t="s">
        <v>0</v>
      </c>
      <c r="C492" s="335" t="s">
        <v>238</v>
      </c>
      <c r="D492" s="423" t="s">
        <v>2198</v>
      </c>
      <c r="E492" s="545">
        <v>350354</v>
      </c>
      <c r="F492" s="545">
        <v>928109</v>
      </c>
      <c r="G492" s="422">
        <v>40.18</v>
      </c>
      <c r="H492" s="336"/>
      <c r="I492" s="336"/>
      <c r="J492" s="545" t="s">
        <v>2240</v>
      </c>
      <c r="K492" s="336"/>
      <c r="L492" s="336"/>
      <c r="M492" s="336"/>
      <c r="N492" s="336"/>
      <c r="O492" s="336"/>
      <c r="P492" s="336"/>
      <c r="Q492" s="336"/>
      <c r="R492" s="336"/>
      <c r="S492" s="336"/>
    </row>
    <row r="493" spans="1:19" s="438" customFormat="1" x14ac:dyDescent="0.25">
      <c r="A493" s="547" t="s">
        <v>2193</v>
      </c>
      <c r="B493" s="336" t="s">
        <v>0</v>
      </c>
      <c r="C493" s="335" t="s">
        <v>238</v>
      </c>
      <c r="D493" s="423" t="s">
        <v>2199</v>
      </c>
      <c r="E493" s="545">
        <v>226568</v>
      </c>
      <c r="F493" s="545">
        <v>932690</v>
      </c>
      <c r="G493" s="422">
        <v>41.95</v>
      </c>
      <c r="H493" s="336"/>
      <c r="I493" s="336"/>
      <c r="J493" s="545" t="s">
        <v>2243</v>
      </c>
      <c r="K493" s="336"/>
      <c r="L493" s="336"/>
      <c r="M493" s="336"/>
      <c r="N493" s="336"/>
      <c r="O493" s="336"/>
      <c r="P493" s="336"/>
      <c r="Q493" s="336"/>
      <c r="R493" s="336"/>
      <c r="S493" s="336"/>
    </row>
    <row r="494" spans="1:19" s="336" customFormat="1" x14ac:dyDescent="0.25">
      <c r="A494" s="547" t="s">
        <v>2193</v>
      </c>
      <c r="B494" s="336" t="s">
        <v>0</v>
      </c>
      <c r="C494" s="335" t="s">
        <v>238</v>
      </c>
      <c r="D494" s="423" t="s">
        <v>2200</v>
      </c>
      <c r="E494" s="545">
        <v>351244</v>
      </c>
      <c r="F494" s="545">
        <v>934558</v>
      </c>
      <c r="G494" s="422">
        <v>42.66</v>
      </c>
      <c r="J494" s="545" t="s">
        <v>2243</v>
      </c>
    </row>
    <row r="495" spans="1:19" s="336" customFormat="1" x14ac:dyDescent="0.25">
      <c r="A495" s="547" t="s">
        <v>2193</v>
      </c>
      <c r="B495" s="336" t="s">
        <v>0</v>
      </c>
      <c r="C495" s="336" t="s">
        <v>238</v>
      </c>
      <c r="D495" s="423" t="s">
        <v>2120</v>
      </c>
      <c r="E495" s="545">
        <v>202</v>
      </c>
      <c r="F495" s="545">
        <v>912945</v>
      </c>
      <c r="G495" s="422">
        <v>52.78</v>
      </c>
      <c r="H495" s="336">
        <v>2912945</v>
      </c>
      <c r="J495" s="545" t="s">
        <v>6</v>
      </c>
    </row>
    <row r="496" spans="1:19" s="336" customFormat="1" x14ac:dyDescent="0.25">
      <c r="A496" s="547" t="s">
        <v>2193</v>
      </c>
      <c r="B496" s="336" t="s">
        <v>0</v>
      </c>
      <c r="C496" s="336" t="s">
        <v>238</v>
      </c>
      <c r="D496" s="423" t="s">
        <v>1491</v>
      </c>
      <c r="E496" s="545">
        <v>351915</v>
      </c>
      <c r="F496" s="545">
        <v>92849</v>
      </c>
      <c r="G496" s="422">
        <v>55.98</v>
      </c>
      <c r="J496" s="545" t="s">
        <v>2243</v>
      </c>
    </row>
    <row r="497" spans="1:19" s="336" customFormat="1" x14ac:dyDescent="0.25">
      <c r="A497" s="547" t="s">
        <v>2193</v>
      </c>
      <c r="B497" s="336" t="s">
        <v>0</v>
      </c>
      <c r="C497" s="335" t="s">
        <v>238</v>
      </c>
      <c r="D497" s="423" t="s">
        <v>1971</v>
      </c>
      <c r="E497" s="545">
        <v>352954</v>
      </c>
      <c r="F497" s="545"/>
      <c r="G497" s="422">
        <v>56.94</v>
      </c>
      <c r="J497" s="545" t="s">
        <v>2201</v>
      </c>
    </row>
    <row r="498" spans="1:19" s="336" customFormat="1" x14ac:dyDescent="0.25">
      <c r="A498" s="547" t="s">
        <v>2193</v>
      </c>
      <c r="B498" s="336" t="s">
        <v>0</v>
      </c>
      <c r="C498" s="335" t="s">
        <v>238</v>
      </c>
      <c r="D498" s="423" t="s">
        <v>2202</v>
      </c>
      <c r="E498" s="545">
        <v>351728</v>
      </c>
      <c r="F498" s="545">
        <v>926340</v>
      </c>
      <c r="G498" s="422">
        <v>32.159999999999997</v>
      </c>
      <c r="J498" s="545" t="s">
        <v>2192</v>
      </c>
    </row>
    <row r="499" spans="1:19" s="336" customFormat="1" x14ac:dyDescent="0.25">
      <c r="A499" s="547" t="s">
        <v>2193</v>
      </c>
      <c r="B499" s="336" t="s">
        <v>0</v>
      </c>
      <c r="C499" s="335" t="s">
        <v>238</v>
      </c>
      <c r="D499" s="419">
        <v>376270953999</v>
      </c>
      <c r="E499" s="545">
        <v>351248</v>
      </c>
      <c r="F499" s="545">
        <v>919753</v>
      </c>
      <c r="G499" s="422">
        <v>63.66</v>
      </c>
      <c r="J499" s="545" t="s">
        <v>2192</v>
      </c>
    </row>
    <row r="500" spans="1:19" s="336" customFormat="1" x14ac:dyDescent="0.25">
      <c r="A500" s="547" t="s">
        <v>2193</v>
      </c>
      <c r="B500" s="336" t="s">
        <v>0</v>
      </c>
      <c r="C500" s="335" t="s">
        <v>238</v>
      </c>
      <c r="D500" s="423" t="s">
        <v>1398</v>
      </c>
      <c r="E500" s="545">
        <v>214579</v>
      </c>
      <c r="F500" s="545">
        <v>932099</v>
      </c>
      <c r="G500" s="422">
        <v>69.95</v>
      </c>
      <c r="H500" s="2"/>
      <c r="I500" s="2"/>
      <c r="J500" s="545" t="s">
        <v>2192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336" customFormat="1" x14ac:dyDescent="0.25">
      <c r="A501" s="440" t="s">
        <v>2193</v>
      </c>
      <c r="B501" s="438" t="s">
        <v>0</v>
      </c>
      <c r="C501" s="438" t="s">
        <v>2685</v>
      </c>
      <c r="D501" s="431" t="s">
        <v>677</v>
      </c>
      <c r="E501" s="436">
        <v>350428</v>
      </c>
      <c r="F501" s="436">
        <v>936164</v>
      </c>
      <c r="G501" s="436">
        <v>69.95</v>
      </c>
      <c r="H501" s="438"/>
      <c r="I501" s="438"/>
      <c r="J501" s="436" t="s">
        <v>2283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336" customFormat="1" x14ac:dyDescent="0.25">
      <c r="A502" s="547" t="s">
        <v>2193</v>
      </c>
      <c r="B502" s="336" t="s">
        <v>0</v>
      </c>
      <c r="C502" s="335" t="s">
        <v>238</v>
      </c>
      <c r="D502" s="419">
        <v>376272633995</v>
      </c>
      <c r="E502" s="545">
        <v>352098</v>
      </c>
      <c r="F502" s="545">
        <v>927375</v>
      </c>
      <c r="G502" s="422">
        <v>71.95</v>
      </c>
      <c r="J502" s="545" t="s">
        <v>2192</v>
      </c>
    </row>
    <row r="503" spans="1:19" s="336" customFormat="1" x14ac:dyDescent="0.25">
      <c r="A503" s="547" t="s">
        <v>2193</v>
      </c>
      <c r="B503" s="336" t="s">
        <v>0</v>
      </c>
      <c r="C503" s="335" t="s">
        <v>238</v>
      </c>
      <c r="D503" s="423" t="s">
        <v>2203</v>
      </c>
      <c r="E503" s="545">
        <v>351758</v>
      </c>
      <c r="F503" s="545">
        <v>933398</v>
      </c>
      <c r="G503" s="422">
        <v>73.95</v>
      </c>
      <c r="J503" s="545" t="s">
        <v>2192</v>
      </c>
    </row>
    <row r="504" spans="1:19" x14ac:dyDescent="0.25">
      <c r="A504" s="547" t="s">
        <v>2193</v>
      </c>
      <c r="B504" s="336" t="s">
        <v>0</v>
      </c>
      <c r="C504" s="335" t="s">
        <v>238</v>
      </c>
      <c r="D504" s="423" t="s">
        <v>2204</v>
      </c>
      <c r="E504" s="545">
        <v>226862</v>
      </c>
      <c r="F504" s="545">
        <v>927498</v>
      </c>
      <c r="G504" s="422">
        <v>74.900000000000006</v>
      </c>
      <c r="H504" s="336"/>
      <c r="I504" s="336"/>
      <c r="J504" s="545" t="s">
        <v>2192</v>
      </c>
      <c r="K504" s="336"/>
      <c r="L504" s="336"/>
      <c r="M504" s="336"/>
      <c r="N504" s="336"/>
      <c r="O504" s="336"/>
      <c r="P504" s="336"/>
      <c r="Q504" s="336"/>
      <c r="R504" s="336"/>
      <c r="S504" s="336"/>
    </row>
    <row r="505" spans="1:19" x14ac:dyDescent="0.25">
      <c r="A505" s="547" t="s">
        <v>2193</v>
      </c>
      <c r="B505" s="336" t="s">
        <v>0</v>
      </c>
      <c r="C505" s="335" t="s">
        <v>238</v>
      </c>
      <c r="D505" s="423" t="s">
        <v>2032</v>
      </c>
      <c r="E505" s="545">
        <v>215835</v>
      </c>
      <c r="F505" s="545">
        <v>928599</v>
      </c>
      <c r="G505" s="422">
        <v>83.88</v>
      </c>
      <c r="H505" s="336"/>
      <c r="I505" s="336"/>
      <c r="J505" s="545" t="s">
        <v>2192</v>
      </c>
      <c r="K505" s="336"/>
      <c r="L505" s="336"/>
      <c r="M505" s="336"/>
      <c r="N505" s="336"/>
      <c r="O505" s="336"/>
      <c r="P505" s="336"/>
      <c r="Q505" s="336"/>
      <c r="R505" s="336"/>
      <c r="S505" s="336"/>
    </row>
    <row r="506" spans="1:19" x14ac:dyDescent="0.25">
      <c r="A506" s="547" t="s">
        <v>2193</v>
      </c>
      <c r="B506" s="336" t="s">
        <v>0</v>
      </c>
      <c r="C506" s="335" t="s">
        <v>238</v>
      </c>
      <c r="D506" s="423" t="s">
        <v>2205</v>
      </c>
      <c r="E506" s="545">
        <v>351647</v>
      </c>
      <c r="F506" s="545">
        <v>934727</v>
      </c>
      <c r="G506" s="422">
        <v>83.9</v>
      </c>
      <c r="H506" s="336"/>
      <c r="I506" s="336"/>
      <c r="J506" s="545" t="s">
        <v>2242</v>
      </c>
      <c r="K506" s="336"/>
      <c r="L506" s="336"/>
      <c r="M506" s="336"/>
      <c r="N506" s="336"/>
      <c r="O506" s="336"/>
      <c r="P506" s="336"/>
      <c r="Q506" s="336"/>
      <c r="R506" s="336"/>
      <c r="S506" s="336"/>
    </row>
    <row r="507" spans="1:19" x14ac:dyDescent="0.25">
      <c r="A507" s="547" t="s">
        <v>2193</v>
      </c>
      <c r="B507" s="336" t="s">
        <v>0</v>
      </c>
      <c r="C507" s="335" t="s">
        <v>238</v>
      </c>
      <c r="D507" s="423" t="s">
        <v>2206</v>
      </c>
      <c r="E507" s="545">
        <v>353151</v>
      </c>
      <c r="F507" s="545"/>
      <c r="G507" s="422">
        <v>84.95</v>
      </c>
      <c r="H507" s="336"/>
      <c r="I507" s="336"/>
      <c r="J507" s="545" t="s">
        <v>2244</v>
      </c>
      <c r="K507" s="336"/>
      <c r="L507" s="336"/>
      <c r="M507" s="336"/>
      <c r="N507" s="336"/>
      <c r="O507" s="336"/>
      <c r="P507" s="336"/>
      <c r="Q507" s="336"/>
      <c r="R507" s="336"/>
      <c r="S507" s="336"/>
    </row>
    <row r="508" spans="1:19" x14ac:dyDescent="0.25">
      <c r="A508" s="547" t="s">
        <v>2193</v>
      </c>
      <c r="B508" s="336" t="s">
        <v>0</v>
      </c>
      <c r="C508" s="335" t="s">
        <v>238</v>
      </c>
      <c r="D508" s="423" t="s">
        <v>1917</v>
      </c>
      <c r="E508" s="586">
        <v>98384</v>
      </c>
      <c r="F508" s="545">
        <v>927574</v>
      </c>
      <c r="G508" s="422">
        <v>85.95</v>
      </c>
      <c r="H508" s="336"/>
      <c r="I508" s="336"/>
      <c r="J508" s="545" t="s">
        <v>2242</v>
      </c>
      <c r="K508" s="336"/>
      <c r="L508" s="336"/>
      <c r="M508" s="336"/>
      <c r="N508" s="336"/>
      <c r="O508" s="336"/>
      <c r="P508" s="336"/>
      <c r="Q508" s="336"/>
      <c r="R508" s="336"/>
      <c r="S508" s="336"/>
    </row>
    <row r="509" spans="1:19" x14ac:dyDescent="0.25">
      <c r="A509" s="547" t="s">
        <v>2193</v>
      </c>
      <c r="B509" s="336" t="s">
        <v>0</v>
      </c>
      <c r="C509" s="335" t="s">
        <v>238</v>
      </c>
      <c r="D509" s="423" t="s">
        <v>2207</v>
      </c>
      <c r="E509" s="586">
        <v>879</v>
      </c>
      <c r="F509" s="545">
        <v>927571</v>
      </c>
      <c r="G509" s="422">
        <v>88.06</v>
      </c>
      <c r="H509" s="336"/>
      <c r="I509" s="336"/>
      <c r="J509" s="545" t="s">
        <v>2242</v>
      </c>
      <c r="K509" s="336"/>
      <c r="L509" s="336"/>
      <c r="M509" s="336"/>
      <c r="N509" s="336"/>
      <c r="O509" s="336"/>
      <c r="P509" s="336"/>
      <c r="Q509" s="336"/>
      <c r="R509" s="336"/>
      <c r="S509" s="336"/>
    </row>
    <row r="510" spans="1:19" x14ac:dyDescent="0.25">
      <c r="A510" s="547" t="s">
        <v>2193</v>
      </c>
      <c r="B510" s="336" t="s">
        <v>0</v>
      </c>
      <c r="C510" s="335" t="s">
        <v>238</v>
      </c>
      <c r="D510" s="423" t="s">
        <v>2211</v>
      </c>
      <c r="E510" s="586">
        <v>350389</v>
      </c>
      <c r="F510" s="545">
        <v>927056</v>
      </c>
      <c r="G510" s="422">
        <v>89.06</v>
      </c>
      <c r="H510" s="336"/>
      <c r="I510" s="336"/>
      <c r="J510" s="545" t="s">
        <v>2242</v>
      </c>
      <c r="K510" s="336"/>
      <c r="L510" s="336"/>
      <c r="M510" s="336"/>
      <c r="N510" s="336"/>
      <c r="O510" s="336"/>
      <c r="P510" s="336"/>
      <c r="Q510" s="336"/>
      <c r="R510" s="336"/>
      <c r="S510" s="336"/>
    </row>
    <row r="511" spans="1:19" s="336" customFormat="1" x14ac:dyDescent="0.25">
      <c r="A511" s="547" t="s">
        <v>2193</v>
      </c>
      <c r="B511" s="336" t="s">
        <v>0</v>
      </c>
      <c r="C511" s="335" t="s">
        <v>238</v>
      </c>
      <c r="D511" s="423" t="s">
        <v>2208</v>
      </c>
      <c r="E511" s="545">
        <v>212962</v>
      </c>
      <c r="F511" s="545">
        <v>933128</v>
      </c>
      <c r="G511" s="422">
        <v>90.55</v>
      </c>
      <c r="J511" s="545" t="s">
        <v>2242</v>
      </c>
    </row>
    <row r="512" spans="1:19" s="336" customFormat="1" x14ac:dyDescent="0.25">
      <c r="A512" s="547" t="s">
        <v>2193</v>
      </c>
      <c r="B512" s="336" t="s">
        <v>0</v>
      </c>
      <c r="C512" s="335" t="s">
        <v>238</v>
      </c>
      <c r="D512" s="423" t="s">
        <v>2209</v>
      </c>
      <c r="E512" s="545">
        <v>352386</v>
      </c>
      <c r="F512" s="545">
        <v>928050</v>
      </c>
      <c r="G512" s="422">
        <v>90.95</v>
      </c>
      <c r="J512" s="545" t="s">
        <v>2242</v>
      </c>
    </row>
    <row r="513" spans="1:19" s="336" customFormat="1" x14ac:dyDescent="0.25">
      <c r="A513" s="547" t="s">
        <v>2193</v>
      </c>
      <c r="B513" s="336" t="s">
        <v>0</v>
      </c>
      <c r="C513" s="335" t="s">
        <v>238</v>
      </c>
      <c r="D513" s="423" t="s">
        <v>2210</v>
      </c>
      <c r="E513" s="545">
        <v>351344</v>
      </c>
      <c r="F513" s="545">
        <v>928281</v>
      </c>
      <c r="G513" s="422">
        <v>91.95</v>
      </c>
      <c r="J513" s="545" t="s">
        <v>2242</v>
      </c>
    </row>
    <row r="514" spans="1:19" s="336" customFormat="1" x14ac:dyDescent="0.25">
      <c r="A514" s="547" t="s">
        <v>2193</v>
      </c>
      <c r="B514" s="336" t="s">
        <v>0</v>
      </c>
      <c r="C514" s="335" t="s">
        <v>238</v>
      </c>
      <c r="D514" s="423" t="s">
        <v>2212</v>
      </c>
      <c r="E514" s="545">
        <v>352813</v>
      </c>
      <c r="F514" s="545">
        <v>927747</v>
      </c>
      <c r="G514" s="422">
        <v>92.45</v>
      </c>
      <c r="J514" s="545" t="s">
        <v>6</v>
      </c>
    </row>
    <row r="515" spans="1:19" s="336" customFormat="1" x14ac:dyDescent="0.25">
      <c r="A515" s="547" t="s">
        <v>2193</v>
      </c>
      <c r="B515" s="336" t="s">
        <v>0</v>
      </c>
      <c r="C515" s="336" t="s">
        <v>238</v>
      </c>
      <c r="D515" s="423" t="s">
        <v>1780</v>
      </c>
      <c r="E515" s="545">
        <v>350368</v>
      </c>
      <c r="F515" s="545">
        <v>927015</v>
      </c>
      <c r="G515" s="422">
        <v>93.93</v>
      </c>
      <c r="J515" s="545" t="s">
        <v>6</v>
      </c>
    </row>
    <row r="516" spans="1:19" s="336" customFormat="1" x14ac:dyDescent="0.25">
      <c r="A516" s="547" t="s">
        <v>2193</v>
      </c>
      <c r="B516" s="336" t="s">
        <v>0</v>
      </c>
      <c r="C516" s="335" t="s">
        <v>238</v>
      </c>
      <c r="D516" s="423" t="s">
        <v>2213</v>
      </c>
      <c r="E516" s="545">
        <v>351103</v>
      </c>
      <c r="F516" s="545">
        <v>927159</v>
      </c>
      <c r="G516" s="422">
        <v>95.5</v>
      </c>
      <c r="J516" s="545" t="s">
        <v>2242</v>
      </c>
    </row>
    <row r="517" spans="1:19" s="336" customFormat="1" x14ac:dyDescent="0.25">
      <c r="A517" s="547" t="s">
        <v>2193</v>
      </c>
      <c r="B517" s="336" t="s">
        <v>0</v>
      </c>
      <c r="C517" s="335" t="s">
        <v>238</v>
      </c>
      <c r="D517" s="423" t="s">
        <v>2214</v>
      </c>
      <c r="E517" s="545">
        <v>218195</v>
      </c>
      <c r="F517" s="545">
        <v>927091</v>
      </c>
      <c r="G517" s="422">
        <v>107.9</v>
      </c>
      <c r="J517" s="545" t="s">
        <v>2240</v>
      </c>
    </row>
    <row r="518" spans="1:19" s="336" customFormat="1" x14ac:dyDescent="0.25">
      <c r="A518" s="555" t="s">
        <v>2193</v>
      </c>
      <c r="B518" s="2" t="s">
        <v>0</v>
      </c>
      <c r="C518" s="2" t="s">
        <v>2685</v>
      </c>
      <c r="D518" s="421" t="s">
        <v>271</v>
      </c>
      <c r="E518" s="553">
        <v>1082</v>
      </c>
      <c r="F518" s="553">
        <v>914693</v>
      </c>
      <c r="G518" s="420">
        <v>111.25</v>
      </c>
      <c r="H518" s="2"/>
      <c r="I518" s="2"/>
      <c r="J518" s="553" t="s">
        <v>2283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336" customFormat="1" x14ac:dyDescent="0.25">
      <c r="A519" s="547" t="s">
        <v>2193</v>
      </c>
      <c r="B519" s="336" t="s">
        <v>0</v>
      </c>
      <c r="C519" s="335" t="s">
        <v>238</v>
      </c>
      <c r="D519" s="423" t="s">
        <v>115</v>
      </c>
      <c r="E519" s="545">
        <v>351425</v>
      </c>
      <c r="F519" s="545">
        <v>927941</v>
      </c>
      <c r="G519" s="422">
        <v>124.97</v>
      </c>
      <c r="J519" s="545" t="s">
        <v>2240</v>
      </c>
    </row>
    <row r="520" spans="1:19" s="336" customFormat="1" x14ac:dyDescent="0.25">
      <c r="A520" s="547" t="s">
        <v>2193</v>
      </c>
      <c r="B520" s="336" t="s">
        <v>0</v>
      </c>
      <c r="C520" s="335" t="s">
        <v>238</v>
      </c>
      <c r="D520" s="423" t="s">
        <v>2215</v>
      </c>
      <c r="E520" s="545">
        <v>214512</v>
      </c>
      <c r="F520" s="545">
        <v>918241</v>
      </c>
      <c r="G520" s="422">
        <v>79.33</v>
      </c>
      <c r="J520" s="545" t="s">
        <v>2240</v>
      </c>
    </row>
    <row r="521" spans="1:19" s="336" customFormat="1" x14ac:dyDescent="0.25">
      <c r="A521" s="547" t="s">
        <v>2193</v>
      </c>
      <c r="B521" s="336" t="s">
        <v>0</v>
      </c>
      <c r="C521" s="335" t="s">
        <v>238</v>
      </c>
      <c r="D521" s="423" t="s">
        <v>1355</v>
      </c>
      <c r="E521" s="545">
        <v>350198</v>
      </c>
      <c r="F521" s="545">
        <v>925086</v>
      </c>
      <c r="G521" s="422">
        <v>137.82</v>
      </c>
      <c r="J521" s="545" t="s">
        <v>2240</v>
      </c>
    </row>
    <row r="522" spans="1:19" s="336" customFormat="1" x14ac:dyDescent="0.25">
      <c r="A522" s="547" t="s">
        <v>2193</v>
      </c>
      <c r="B522" s="336" t="s">
        <v>0</v>
      </c>
      <c r="C522" s="335" t="s">
        <v>476</v>
      </c>
      <c r="D522" s="423" t="s">
        <v>2216</v>
      </c>
      <c r="E522" s="545">
        <v>352480</v>
      </c>
      <c r="F522" s="545">
        <v>932369</v>
      </c>
      <c r="G522" s="422">
        <v>111.9</v>
      </c>
      <c r="J522" s="545" t="s">
        <v>2240</v>
      </c>
    </row>
    <row r="523" spans="1:19" s="336" customFormat="1" x14ac:dyDescent="0.25">
      <c r="A523" s="547" t="s">
        <v>2193</v>
      </c>
      <c r="B523" s="336" t="s">
        <v>0</v>
      </c>
      <c r="C523" s="335" t="s">
        <v>476</v>
      </c>
      <c r="D523" s="423" t="s">
        <v>2217</v>
      </c>
      <c r="E523" s="545">
        <v>351753</v>
      </c>
      <c r="F523" s="545">
        <v>927895</v>
      </c>
      <c r="G523" s="422">
        <v>153.24</v>
      </c>
      <c r="J523" s="545" t="s">
        <v>2240</v>
      </c>
    </row>
    <row r="524" spans="1:19" s="336" customFormat="1" x14ac:dyDescent="0.25">
      <c r="A524" s="547" t="s">
        <v>2193</v>
      </c>
      <c r="B524" s="336" t="s">
        <v>0</v>
      </c>
      <c r="C524" s="336" t="s">
        <v>238</v>
      </c>
      <c r="D524" s="423" t="s">
        <v>2218</v>
      </c>
      <c r="E524" s="545">
        <v>351518</v>
      </c>
      <c r="F524" s="545">
        <v>926647</v>
      </c>
      <c r="G524" s="422">
        <v>168.85</v>
      </c>
      <c r="J524" s="545" t="s">
        <v>2192</v>
      </c>
    </row>
    <row r="525" spans="1:19" s="336" customFormat="1" x14ac:dyDescent="0.25">
      <c r="A525" s="547" t="s">
        <v>2193</v>
      </c>
      <c r="B525" s="336" t="s">
        <v>0</v>
      </c>
      <c r="C525" s="336" t="s">
        <v>476</v>
      </c>
      <c r="D525" s="423" t="s">
        <v>2219</v>
      </c>
      <c r="E525" s="545">
        <v>350538</v>
      </c>
      <c r="F525" s="545">
        <v>920513</v>
      </c>
      <c r="G525" s="422">
        <v>99.9</v>
      </c>
      <c r="J525" s="545" t="s">
        <v>2192</v>
      </c>
    </row>
    <row r="526" spans="1:19" s="336" customFormat="1" x14ac:dyDescent="0.25">
      <c r="A526" s="547" t="s">
        <v>2193</v>
      </c>
      <c r="B526" s="336" t="s">
        <v>0</v>
      </c>
      <c r="C526" s="335" t="s">
        <v>238</v>
      </c>
      <c r="D526" s="423" t="s">
        <v>2220</v>
      </c>
      <c r="E526" s="545">
        <v>350491</v>
      </c>
      <c r="F526" s="545">
        <v>924301</v>
      </c>
      <c r="G526" s="422">
        <v>126.04</v>
      </c>
      <c r="J526" s="545" t="s">
        <v>2240</v>
      </c>
    </row>
    <row r="527" spans="1:19" s="336" customFormat="1" x14ac:dyDescent="0.25">
      <c r="A527" s="547" t="s">
        <v>2193</v>
      </c>
      <c r="B527" s="336" t="s">
        <v>0</v>
      </c>
      <c r="C527" s="335" t="s">
        <v>238</v>
      </c>
      <c r="D527" s="423" t="s">
        <v>214</v>
      </c>
      <c r="E527" s="545">
        <v>351307</v>
      </c>
      <c r="F527" s="335"/>
      <c r="G527" s="422">
        <v>30.95</v>
      </c>
      <c r="J527" s="545" t="s">
        <v>2240</v>
      </c>
    </row>
    <row r="528" spans="1:19" s="336" customFormat="1" x14ac:dyDescent="0.25">
      <c r="A528" s="547" t="s">
        <v>2193</v>
      </c>
      <c r="B528" s="336" t="s">
        <v>0</v>
      </c>
      <c r="C528" s="335" t="s">
        <v>238</v>
      </c>
      <c r="D528" s="423" t="s">
        <v>2120</v>
      </c>
      <c r="E528" s="545">
        <v>202</v>
      </c>
      <c r="F528" s="545">
        <v>930746</v>
      </c>
      <c r="G528" s="422">
        <v>50.36</v>
      </c>
      <c r="J528" s="545" t="s">
        <v>2240</v>
      </c>
    </row>
    <row r="529" spans="1:19" s="336" customFormat="1" x14ac:dyDescent="0.25">
      <c r="A529" s="440" t="s">
        <v>2193</v>
      </c>
      <c r="B529" s="438" t="s">
        <v>0</v>
      </c>
      <c r="C529" s="438" t="s">
        <v>2685</v>
      </c>
      <c r="D529" s="431" t="s">
        <v>677</v>
      </c>
      <c r="E529" s="436">
        <v>350428</v>
      </c>
      <c r="F529" s="436">
        <v>936164</v>
      </c>
      <c r="G529" s="436">
        <v>-69.95</v>
      </c>
      <c r="H529" s="438"/>
      <c r="I529" s="438"/>
      <c r="J529" s="436" t="s">
        <v>2286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438" customFormat="1" x14ac:dyDescent="0.25">
      <c r="A530" s="440" t="s">
        <v>2164</v>
      </c>
      <c r="B530" s="439" t="s">
        <v>121</v>
      </c>
      <c r="D530" s="437" t="s">
        <v>1780</v>
      </c>
      <c r="E530" s="436">
        <v>350368</v>
      </c>
      <c r="F530" s="436">
        <v>812245</v>
      </c>
      <c r="G530" s="587">
        <v>-136.63</v>
      </c>
      <c r="J530" s="436" t="s">
        <v>482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5">
      <c r="A531" s="547" t="s">
        <v>2164</v>
      </c>
      <c r="B531" s="335" t="s">
        <v>121</v>
      </c>
      <c r="C531" s="335" t="s">
        <v>238</v>
      </c>
      <c r="D531" s="517" t="s">
        <v>2165</v>
      </c>
      <c r="E531" s="545">
        <v>350431</v>
      </c>
      <c r="F531" s="545">
        <v>879799</v>
      </c>
      <c r="G531" s="514">
        <v>74.95</v>
      </c>
      <c r="H531" s="336"/>
      <c r="I531" s="336"/>
      <c r="J531" s="545" t="s">
        <v>2161</v>
      </c>
      <c r="K531" s="336"/>
      <c r="L531" s="336"/>
      <c r="M531" s="336"/>
      <c r="N531" s="336"/>
      <c r="O531" s="336"/>
      <c r="P531" s="336"/>
      <c r="Q531" s="336"/>
      <c r="R531" s="336"/>
      <c r="S531" s="336"/>
    </row>
    <row r="532" spans="1:19" x14ac:dyDescent="0.25">
      <c r="A532" s="440" t="s">
        <v>2164</v>
      </c>
      <c r="B532" s="439" t="s">
        <v>121</v>
      </c>
      <c r="C532" s="438" t="s">
        <v>2685</v>
      </c>
      <c r="D532" s="437" t="s">
        <v>2148</v>
      </c>
      <c r="E532" s="436">
        <v>351649</v>
      </c>
      <c r="F532" s="436">
        <v>860346</v>
      </c>
      <c r="G532" s="587">
        <v>103.51</v>
      </c>
      <c r="H532" s="438"/>
      <c r="I532" s="438"/>
      <c r="J532" s="436" t="s">
        <v>2283</v>
      </c>
    </row>
    <row r="533" spans="1:19" x14ac:dyDescent="0.25">
      <c r="A533" s="440" t="s">
        <v>2164</v>
      </c>
      <c r="B533" s="439" t="s">
        <v>121</v>
      </c>
      <c r="C533" s="438"/>
      <c r="D533" s="437" t="s">
        <v>2166</v>
      </c>
      <c r="E533" s="436">
        <v>221729</v>
      </c>
      <c r="F533" s="436">
        <v>883163</v>
      </c>
      <c r="G533" s="435">
        <v>59.9</v>
      </c>
      <c r="H533" s="438"/>
      <c r="I533" s="438"/>
      <c r="J533" s="436" t="s">
        <v>2177</v>
      </c>
      <c r="K533" s="438"/>
      <c r="L533" s="438"/>
      <c r="M533" s="438"/>
      <c r="N533" s="438"/>
      <c r="O533" s="438"/>
      <c r="P533" s="438"/>
      <c r="Q533" s="438"/>
      <c r="R533" s="438"/>
      <c r="S533" s="438"/>
    </row>
    <row r="534" spans="1:19" s="336" customFormat="1" x14ac:dyDescent="0.25">
      <c r="A534" s="547" t="s">
        <v>2164</v>
      </c>
      <c r="B534" s="335" t="s">
        <v>121</v>
      </c>
      <c r="C534" s="335" t="s">
        <v>238</v>
      </c>
      <c r="D534" s="517" t="s">
        <v>2167</v>
      </c>
      <c r="E534" s="545">
        <v>352797</v>
      </c>
      <c r="F534" s="545">
        <v>886151</v>
      </c>
      <c r="G534" s="506">
        <v>151.9</v>
      </c>
      <c r="J534" s="545" t="s">
        <v>2161</v>
      </c>
    </row>
    <row r="535" spans="1:19" s="336" customFormat="1" x14ac:dyDescent="0.25">
      <c r="A535" s="547" t="s">
        <v>2164</v>
      </c>
      <c r="B535" s="335" t="s">
        <v>121</v>
      </c>
      <c r="C535" s="335" t="s">
        <v>238</v>
      </c>
      <c r="D535" s="517" t="s">
        <v>2168</v>
      </c>
      <c r="E535" s="545">
        <v>211552</v>
      </c>
      <c r="F535" s="545">
        <v>881644</v>
      </c>
      <c r="G535" s="506">
        <v>292.26</v>
      </c>
      <c r="J535" s="545" t="s">
        <v>2161</v>
      </c>
    </row>
    <row r="536" spans="1:19" s="336" customFormat="1" x14ac:dyDescent="0.25">
      <c r="A536" s="547" t="s">
        <v>2164</v>
      </c>
      <c r="B536" s="335" t="s">
        <v>121</v>
      </c>
      <c r="C536" s="336" t="s">
        <v>238</v>
      </c>
      <c r="D536" s="529">
        <v>376271512992</v>
      </c>
      <c r="E536" s="342">
        <v>351466</v>
      </c>
      <c r="F536" s="342">
        <v>883949</v>
      </c>
      <c r="G536" s="433">
        <v>45.85</v>
      </c>
      <c r="J536" s="545" t="s">
        <v>2192</v>
      </c>
    </row>
    <row r="537" spans="1:19" s="336" customFormat="1" x14ac:dyDescent="0.25">
      <c r="A537" s="427" t="s">
        <v>2175</v>
      </c>
      <c r="B537" s="323" t="s">
        <v>121</v>
      </c>
      <c r="C537" s="2"/>
      <c r="D537" s="511" t="s">
        <v>1780</v>
      </c>
      <c r="E537" s="553">
        <v>350368</v>
      </c>
      <c r="F537" s="553">
        <v>812245</v>
      </c>
      <c r="G537" s="426">
        <v>-136.63</v>
      </c>
      <c r="H537" s="2"/>
      <c r="I537" s="2"/>
      <c r="J537" s="553" t="s">
        <v>482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336" customFormat="1" x14ac:dyDescent="0.25">
      <c r="A538" s="432" t="s">
        <v>2175</v>
      </c>
      <c r="B538" s="439" t="s">
        <v>121</v>
      </c>
      <c r="C538" s="438"/>
      <c r="D538" s="437" t="s">
        <v>2148</v>
      </c>
      <c r="E538" s="436">
        <v>351649</v>
      </c>
      <c r="F538" s="436">
        <v>860346</v>
      </c>
      <c r="G538" s="436">
        <v>-103.51</v>
      </c>
      <c r="H538" s="438"/>
      <c r="I538" s="438"/>
      <c r="J538" s="436" t="s">
        <v>2284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5">
      <c r="A539" s="427" t="s">
        <v>2175</v>
      </c>
      <c r="B539" s="323" t="s">
        <v>121</v>
      </c>
      <c r="C539" s="2"/>
      <c r="D539" s="319">
        <v>376271512992</v>
      </c>
      <c r="E539" s="553">
        <v>351466</v>
      </c>
      <c r="F539" s="553">
        <v>883949</v>
      </c>
      <c r="G539" s="426">
        <v>45.85</v>
      </c>
      <c r="J539" s="553" t="s">
        <v>6</v>
      </c>
    </row>
    <row r="540" spans="1:19" s="336" customFormat="1" x14ac:dyDescent="0.25">
      <c r="A540" s="503" t="s">
        <v>2175</v>
      </c>
      <c r="B540" s="335" t="s">
        <v>121</v>
      </c>
      <c r="C540" s="335" t="s">
        <v>238</v>
      </c>
      <c r="D540" s="425">
        <v>376273465991</v>
      </c>
      <c r="E540" s="545">
        <v>352482</v>
      </c>
      <c r="F540" s="545">
        <v>911171</v>
      </c>
      <c r="G540" s="433">
        <v>22.21</v>
      </c>
      <c r="J540" s="545" t="s">
        <v>2192</v>
      </c>
    </row>
    <row r="541" spans="1:19" s="336" customFormat="1" x14ac:dyDescent="0.25">
      <c r="A541" s="503" t="s">
        <v>2175</v>
      </c>
      <c r="B541" s="335" t="s">
        <v>121</v>
      </c>
      <c r="C541" s="335" t="s">
        <v>238</v>
      </c>
      <c r="D541" s="507" t="s">
        <v>2073</v>
      </c>
      <c r="E541" s="545">
        <v>352603</v>
      </c>
      <c r="F541" s="545">
        <v>908136</v>
      </c>
      <c r="G541" s="433">
        <v>35.950000000000003</v>
      </c>
      <c r="J541" s="545" t="s">
        <v>2192</v>
      </c>
    </row>
    <row r="542" spans="1:19" s="336" customFormat="1" x14ac:dyDescent="0.25">
      <c r="A542" s="503" t="s">
        <v>2175</v>
      </c>
      <c r="B542" s="335" t="s">
        <v>121</v>
      </c>
      <c r="C542" s="335" t="s">
        <v>238</v>
      </c>
      <c r="D542" s="507" t="s">
        <v>2178</v>
      </c>
      <c r="E542" s="545">
        <v>217361</v>
      </c>
      <c r="F542" s="545">
        <v>895221</v>
      </c>
      <c r="G542" s="433">
        <v>39.6</v>
      </c>
      <c r="J542" s="545" t="s">
        <v>2192</v>
      </c>
    </row>
    <row r="543" spans="1:19" s="336" customFormat="1" x14ac:dyDescent="0.25">
      <c r="A543" s="503" t="s">
        <v>2175</v>
      </c>
      <c r="B543" s="335" t="s">
        <v>121</v>
      </c>
      <c r="C543" s="335" t="s">
        <v>238</v>
      </c>
      <c r="D543" s="507" t="s">
        <v>2179</v>
      </c>
      <c r="E543" s="545">
        <v>350453</v>
      </c>
      <c r="F543" s="545">
        <v>912205</v>
      </c>
      <c r="G543" s="433">
        <v>40.950000000000003</v>
      </c>
      <c r="J543" s="545" t="s">
        <v>2192</v>
      </c>
    </row>
    <row r="544" spans="1:19" s="336" customFormat="1" x14ac:dyDescent="0.25">
      <c r="A544" s="503" t="s">
        <v>2175</v>
      </c>
      <c r="B544" s="335" t="s">
        <v>121</v>
      </c>
      <c r="C544" s="335" t="s">
        <v>238</v>
      </c>
      <c r="D544" s="507" t="s">
        <v>2180</v>
      </c>
      <c r="E544" s="545">
        <v>352329</v>
      </c>
      <c r="F544" s="545">
        <v>888985</v>
      </c>
      <c r="G544" s="433">
        <v>30.18</v>
      </c>
      <c r="J544" s="545" t="s">
        <v>2192</v>
      </c>
    </row>
    <row r="545" spans="1:19" s="336" customFormat="1" x14ac:dyDescent="0.25">
      <c r="A545" s="427" t="s">
        <v>2175</v>
      </c>
      <c r="B545" s="323" t="s">
        <v>121</v>
      </c>
      <c r="C545" s="323" t="s">
        <v>2685</v>
      </c>
      <c r="D545" s="561" t="s">
        <v>1983</v>
      </c>
      <c r="E545" s="553">
        <v>352036</v>
      </c>
      <c r="F545" s="553">
        <v>894561</v>
      </c>
      <c r="G545" s="426">
        <v>75.45</v>
      </c>
      <c r="H545" s="2"/>
      <c r="I545" s="2"/>
      <c r="J545" s="553" t="s">
        <v>2285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336" customFormat="1" x14ac:dyDescent="0.25">
      <c r="A546" s="503" t="s">
        <v>2175</v>
      </c>
      <c r="B546" s="335" t="s">
        <v>121</v>
      </c>
      <c r="C546" s="335" t="s">
        <v>238</v>
      </c>
      <c r="D546" s="425">
        <v>376273002992</v>
      </c>
      <c r="E546" s="545">
        <v>351902</v>
      </c>
      <c r="F546" s="545">
        <v>904002</v>
      </c>
      <c r="G546" s="433">
        <v>80.099999999999994</v>
      </c>
      <c r="J546" s="545" t="s">
        <v>2192</v>
      </c>
    </row>
    <row r="547" spans="1:19" s="336" customFormat="1" x14ac:dyDescent="0.25">
      <c r="A547" s="503" t="s">
        <v>2175</v>
      </c>
      <c r="B547" s="335" t="s">
        <v>121</v>
      </c>
      <c r="C547" s="335" t="s">
        <v>238</v>
      </c>
      <c r="D547" s="507" t="s">
        <v>2181</v>
      </c>
      <c r="E547" s="545">
        <v>351964</v>
      </c>
      <c r="F547" s="545">
        <v>905727</v>
      </c>
      <c r="G547" s="433">
        <v>82.81</v>
      </c>
      <c r="J547" s="545" t="s">
        <v>2192</v>
      </c>
    </row>
    <row r="548" spans="1:19" s="336" customFormat="1" x14ac:dyDescent="0.25">
      <c r="A548" s="503" t="s">
        <v>2175</v>
      </c>
      <c r="B548" s="335" t="s">
        <v>121</v>
      </c>
      <c r="C548" s="335" t="s">
        <v>238</v>
      </c>
      <c r="D548" s="507" t="s">
        <v>384</v>
      </c>
      <c r="E548" s="545">
        <v>350039</v>
      </c>
      <c r="F548" s="545">
        <v>902070</v>
      </c>
      <c r="G548" s="433">
        <v>94.25</v>
      </c>
      <c r="J548" s="545" t="s">
        <v>2192</v>
      </c>
    </row>
    <row r="549" spans="1:19" s="336" customFormat="1" x14ac:dyDescent="0.25">
      <c r="A549" s="503" t="s">
        <v>2175</v>
      </c>
      <c r="B549" s="335" t="s">
        <v>121</v>
      </c>
      <c r="C549" s="335" t="s">
        <v>238</v>
      </c>
      <c r="D549" s="507" t="s">
        <v>2182</v>
      </c>
      <c r="E549" s="545">
        <v>351193</v>
      </c>
      <c r="F549" s="545">
        <v>898087</v>
      </c>
      <c r="G549" s="433">
        <v>94.71</v>
      </c>
      <c r="J549" s="545" t="s">
        <v>2192</v>
      </c>
    </row>
    <row r="550" spans="1:19" x14ac:dyDescent="0.25">
      <c r="A550" s="503" t="s">
        <v>2175</v>
      </c>
      <c r="B550" s="335" t="s">
        <v>121</v>
      </c>
      <c r="C550" s="335" t="s">
        <v>238</v>
      </c>
      <c r="D550" s="507" t="s">
        <v>2183</v>
      </c>
      <c r="E550" s="545">
        <v>350653</v>
      </c>
      <c r="F550" s="545">
        <v>909379</v>
      </c>
      <c r="G550" s="433">
        <v>166.64</v>
      </c>
      <c r="H550" s="336"/>
      <c r="I550" s="336"/>
      <c r="J550" s="545" t="s">
        <v>2192</v>
      </c>
      <c r="K550" s="336"/>
      <c r="L550" s="336"/>
      <c r="M550" s="336"/>
      <c r="N550" s="336"/>
      <c r="O550" s="336"/>
      <c r="P550" s="336"/>
      <c r="Q550" s="336"/>
      <c r="R550" s="336"/>
      <c r="S550" s="336"/>
    </row>
    <row r="551" spans="1:19" x14ac:dyDescent="0.25">
      <c r="A551" s="503" t="s">
        <v>2175</v>
      </c>
      <c r="B551" s="335" t="s">
        <v>121</v>
      </c>
      <c r="C551" s="335" t="s">
        <v>238</v>
      </c>
      <c r="D551" s="425">
        <v>376270713997</v>
      </c>
      <c r="E551" s="545">
        <v>351215</v>
      </c>
      <c r="F551" s="545">
        <v>911231</v>
      </c>
      <c r="G551" s="433">
        <v>185.9</v>
      </c>
      <c r="H551" s="336"/>
      <c r="I551" s="336"/>
      <c r="J551" s="545" t="s">
        <v>2192</v>
      </c>
      <c r="K551" s="336"/>
      <c r="L551" s="336"/>
      <c r="M551" s="336"/>
      <c r="N551" s="336"/>
      <c r="O551" s="336"/>
      <c r="P551" s="336"/>
      <c r="Q551" s="336"/>
      <c r="R551" s="336"/>
      <c r="S551" s="336"/>
    </row>
    <row r="552" spans="1:19" x14ac:dyDescent="0.25">
      <c r="A552" s="503" t="s">
        <v>2175</v>
      </c>
      <c r="B552" s="335" t="s">
        <v>121</v>
      </c>
      <c r="C552" s="335" t="s">
        <v>238</v>
      </c>
      <c r="D552" s="507" t="s">
        <v>181</v>
      </c>
      <c r="E552" s="545">
        <v>351215</v>
      </c>
      <c r="F552" s="545">
        <v>912636</v>
      </c>
      <c r="G552" s="433">
        <v>125.01</v>
      </c>
      <c r="H552" s="336"/>
      <c r="I552" s="336"/>
      <c r="J552" s="545" t="s">
        <v>2192</v>
      </c>
      <c r="K552" s="336"/>
      <c r="L552" s="336"/>
      <c r="M552" s="336"/>
      <c r="N552" s="336"/>
      <c r="O552" s="336"/>
      <c r="P552" s="336"/>
      <c r="Q552" s="336"/>
      <c r="R552" s="336"/>
      <c r="S552" s="336"/>
    </row>
    <row r="553" spans="1:19" x14ac:dyDescent="0.25">
      <c r="A553" s="503" t="s">
        <v>2175</v>
      </c>
      <c r="B553" s="335" t="s">
        <v>121</v>
      </c>
      <c r="C553" s="335" t="s">
        <v>238</v>
      </c>
      <c r="D553" s="507" t="s">
        <v>2184</v>
      </c>
      <c r="E553" s="545">
        <v>352825</v>
      </c>
      <c r="F553" s="545">
        <v>909863</v>
      </c>
      <c r="G553" s="433">
        <v>142.96</v>
      </c>
      <c r="H553" s="336"/>
      <c r="I553" s="336"/>
      <c r="J553" s="545" t="s">
        <v>2192</v>
      </c>
      <c r="K553" s="336"/>
      <c r="L553" s="336"/>
      <c r="M553" s="336"/>
      <c r="N553" s="336"/>
      <c r="O553" s="336"/>
      <c r="P553" s="336"/>
      <c r="Q553" s="336"/>
      <c r="R553" s="336"/>
      <c r="S553" s="336"/>
    </row>
    <row r="554" spans="1:19" s="336" customFormat="1" x14ac:dyDescent="0.25">
      <c r="A554" s="503" t="s">
        <v>2175</v>
      </c>
      <c r="B554" s="335" t="s">
        <v>121</v>
      </c>
      <c r="C554" s="335" t="s">
        <v>238</v>
      </c>
      <c r="D554" s="507" t="s">
        <v>2185</v>
      </c>
      <c r="E554" s="545">
        <v>350585</v>
      </c>
      <c r="F554" s="545">
        <v>909305</v>
      </c>
      <c r="G554" s="433">
        <v>309.95</v>
      </c>
      <c r="J554" s="545" t="s">
        <v>6</v>
      </c>
    </row>
    <row r="555" spans="1:19" s="336" customFormat="1" x14ac:dyDescent="0.25">
      <c r="A555" s="503" t="s">
        <v>2175</v>
      </c>
      <c r="B555" s="335" t="s">
        <v>121</v>
      </c>
      <c r="C555" s="335" t="s">
        <v>238</v>
      </c>
      <c r="D555" s="507"/>
      <c r="E555" s="545"/>
      <c r="F555" s="545"/>
      <c r="G555" s="433">
        <v>167.43</v>
      </c>
      <c r="J555" s="545" t="s">
        <v>2192</v>
      </c>
    </row>
    <row r="556" spans="1:19" s="336" customFormat="1" x14ac:dyDescent="0.25">
      <c r="A556" s="547" t="s">
        <v>2224</v>
      </c>
      <c r="B556" s="335" t="s">
        <v>121</v>
      </c>
      <c r="C556" s="335" t="s">
        <v>238</v>
      </c>
      <c r="D556" s="507" t="s">
        <v>2225</v>
      </c>
      <c r="E556" s="545">
        <v>215404</v>
      </c>
      <c r="F556" s="417">
        <v>950851</v>
      </c>
      <c r="G556" s="422">
        <v>26.9</v>
      </c>
      <c r="J556" s="545" t="s">
        <v>2241</v>
      </c>
    </row>
    <row r="557" spans="1:19" s="336" customFormat="1" x14ac:dyDescent="0.25">
      <c r="A557" s="547" t="s">
        <v>2224</v>
      </c>
      <c r="B557" s="335" t="s">
        <v>121</v>
      </c>
      <c r="C557" s="335" t="s">
        <v>238</v>
      </c>
      <c r="D557" s="425">
        <v>376211866995</v>
      </c>
      <c r="E557" s="545">
        <v>213689</v>
      </c>
      <c r="F557" s="545">
        <v>949100</v>
      </c>
      <c r="G557" s="422">
        <v>31.24</v>
      </c>
      <c r="H557" s="2"/>
      <c r="I557" s="2"/>
      <c r="J557" s="545" t="s">
        <v>2241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336" customFormat="1" x14ac:dyDescent="0.25">
      <c r="A558" s="547" t="s">
        <v>2224</v>
      </c>
      <c r="B558" s="335" t="s">
        <v>121</v>
      </c>
      <c r="C558" s="335" t="s">
        <v>238</v>
      </c>
      <c r="D558" s="425">
        <v>376272156997</v>
      </c>
      <c r="E558" s="545">
        <v>351805</v>
      </c>
      <c r="F558" s="545">
        <v>949109</v>
      </c>
      <c r="G558" s="422">
        <v>32.35</v>
      </c>
      <c r="H558" s="2"/>
      <c r="I558" s="2"/>
      <c r="J558" s="545" t="s">
        <v>2241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336" customFormat="1" x14ac:dyDescent="0.25">
      <c r="A559" s="547" t="s">
        <v>2224</v>
      </c>
      <c r="B559" s="335" t="s">
        <v>121</v>
      </c>
      <c r="C559" s="335" t="s">
        <v>238</v>
      </c>
      <c r="D559" s="507" t="s">
        <v>1220</v>
      </c>
      <c r="E559" s="545">
        <v>211954</v>
      </c>
      <c r="F559" s="545">
        <v>952681</v>
      </c>
      <c r="G559" s="422">
        <v>36.950000000000003</v>
      </c>
      <c r="J559" s="545" t="s">
        <v>2241</v>
      </c>
    </row>
    <row r="560" spans="1:19" s="336" customFormat="1" x14ac:dyDescent="0.25">
      <c r="A560" s="547" t="s">
        <v>2224</v>
      </c>
      <c r="B560" s="335" t="s">
        <v>121</v>
      </c>
      <c r="C560" s="335" t="s">
        <v>238</v>
      </c>
      <c r="D560" s="507" t="s">
        <v>2226</v>
      </c>
      <c r="E560" s="545">
        <v>352378</v>
      </c>
      <c r="F560" s="545">
        <v>949222</v>
      </c>
      <c r="G560" s="422">
        <v>40.119999999999997</v>
      </c>
      <c r="H560" s="2"/>
      <c r="I560" s="2"/>
      <c r="J560" s="545" t="s">
        <v>2241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336" customFormat="1" x14ac:dyDescent="0.25">
      <c r="A561" s="547" t="s">
        <v>2224</v>
      </c>
      <c r="B561" s="335" t="s">
        <v>121</v>
      </c>
      <c r="C561" s="335" t="s">
        <v>238</v>
      </c>
      <c r="D561" s="507" t="s">
        <v>1366</v>
      </c>
      <c r="E561" s="545">
        <v>201238</v>
      </c>
      <c r="F561" s="545">
        <v>949192</v>
      </c>
      <c r="G561" s="422">
        <v>49.75</v>
      </c>
      <c r="H561" s="2"/>
      <c r="I561" s="2"/>
      <c r="J561" s="545" t="s">
        <v>2241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336" customFormat="1" x14ac:dyDescent="0.25">
      <c r="A562" s="547" t="s">
        <v>2224</v>
      </c>
      <c r="B562" s="335" t="s">
        <v>121</v>
      </c>
      <c r="C562" s="335" t="s">
        <v>238</v>
      </c>
      <c r="D562" s="507" t="s">
        <v>2082</v>
      </c>
      <c r="E562" s="545">
        <v>351527</v>
      </c>
      <c r="F562" s="545">
        <v>949402</v>
      </c>
      <c r="G562" s="422">
        <v>51.2</v>
      </c>
      <c r="H562" s="2"/>
      <c r="I562" s="2"/>
      <c r="J562" s="545" t="s">
        <v>2241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336" customFormat="1" x14ac:dyDescent="0.25">
      <c r="A563" s="547" t="s">
        <v>2224</v>
      </c>
      <c r="B563" s="335" t="s">
        <v>121</v>
      </c>
      <c r="C563" s="335" t="s">
        <v>238</v>
      </c>
      <c r="D563" s="507" t="s">
        <v>2030</v>
      </c>
      <c r="E563" s="545">
        <v>226408</v>
      </c>
      <c r="F563" s="545">
        <v>949305</v>
      </c>
      <c r="G563" s="422">
        <v>53.66</v>
      </c>
      <c r="H563" s="2"/>
      <c r="I563" s="2"/>
      <c r="J563" s="545" t="s">
        <v>2241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336" customFormat="1" x14ac:dyDescent="0.25">
      <c r="A564" s="547" t="s">
        <v>2224</v>
      </c>
      <c r="B564" s="335" t="s">
        <v>121</v>
      </c>
      <c r="C564" s="335" t="s">
        <v>238</v>
      </c>
      <c r="D564" s="507" t="s">
        <v>384</v>
      </c>
      <c r="E564" s="545">
        <v>350039</v>
      </c>
      <c r="F564" s="545">
        <v>949108</v>
      </c>
      <c r="G564" s="422">
        <v>61.25</v>
      </c>
      <c r="H564" s="2"/>
      <c r="I564" s="2"/>
      <c r="J564" s="545" t="s">
        <v>2241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336" customFormat="1" x14ac:dyDescent="0.25">
      <c r="A565" s="547" t="s">
        <v>2224</v>
      </c>
      <c r="B565" s="335" t="s">
        <v>121</v>
      </c>
      <c r="C565" s="335" t="s">
        <v>238</v>
      </c>
      <c r="D565" s="507" t="s">
        <v>2146</v>
      </c>
      <c r="E565" s="545">
        <v>351894</v>
      </c>
      <c r="F565" s="545">
        <v>949309</v>
      </c>
      <c r="G565" s="422">
        <v>66.83</v>
      </c>
      <c r="H565" s="2"/>
      <c r="I565" s="2"/>
      <c r="J565" s="545" t="s">
        <v>2241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336" customFormat="1" x14ac:dyDescent="0.25">
      <c r="A566" s="547" t="s">
        <v>2224</v>
      </c>
      <c r="B566" s="335" t="s">
        <v>121</v>
      </c>
      <c r="C566" s="335" t="s">
        <v>238</v>
      </c>
      <c r="D566" s="507" t="s">
        <v>2203</v>
      </c>
      <c r="E566" s="545">
        <v>351758</v>
      </c>
      <c r="F566" s="545">
        <v>956677</v>
      </c>
      <c r="G566" s="422">
        <v>67.84</v>
      </c>
      <c r="H566" s="335"/>
      <c r="I566" s="335"/>
      <c r="J566" s="545" t="s">
        <v>2192</v>
      </c>
      <c r="K566" s="335"/>
      <c r="L566" s="335"/>
      <c r="M566" s="335"/>
      <c r="N566" s="335"/>
      <c r="O566" s="335"/>
      <c r="P566" s="335"/>
      <c r="Q566" s="335"/>
      <c r="R566" s="335"/>
      <c r="S566" s="335"/>
    </row>
    <row r="567" spans="1:19" s="336" customFormat="1" x14ac:dyDescent="0.25">
      <c r="A567" s="547" t="s">
        <v>2224</v>
      </c>
      <c r="B567" s="335" t="s">
        <v>121</v>
      </c>
      <c r="C567" s="335" t="s">
        <v>238</v>
      </c>
      <c r="D567" s="507" t="s">
        <v>2227</v>
      </c>
      <c r="E567" s="545">
        <v>350458</v>
      </c>
      <c r="F567" s="545">
        <v>949176</v>
      </c>
      <c r="G567" s="422">
        <v>67.95</v>
      </c>
      <c r="J567" s="545" t="s">
        <v>2192</v>
      </c>
    </row>
    <row r="568" spans="1:19" s="336" customFormat="1" x14ac:dyDescent="0.25">
      <c r="A568" s="547" t="s">
        <v>2224</v>
      </c>
      <c r="B568" s="335" t="s">
        <v>121</v>
      </c>
      <c r="C568" s="335" t="s">
        <v>238</v>
      </c>
      <c r="D568" s="507" t="s">
        <v>94</v>
      </c>
      <c r="E568" s="545">
        <v>350522</v>
      </c>
      <c r="F568" s="545">
        <v>949112</v>
      </c>
      <c r="G568" s="422">
        <v>70.319999999999993</v>
      </c>
      <c r="J568" s="545" t="s">
        <v>2192</v>
      </c>
    </row>
    <row r="569" spans="1:19" s="336" customFormat="1" x14ac:dyDescent="0.25">
      <c r="A569" s="547" t="s">
        <v>2224</v>
      </c>
      <c r="B569" s="335" t="s">
        <v>121</v>
      </c>
      <c r="C569" s="335" t="s">
        <v>238</v>
      </c>
      <c r="D569" s="507" t="s">
        <v>2228</v>
      </c>
      <c r="E569" s="545">
        <v>215795</v>
      </c>
      <c r="F569" s="545">
        <v>949329</v>
      </c>
      <c r="G569" s="422">
        <v>72.849999999999994</v>
      </c>
      <c r="H569" s="2"/>
      <c r="I569" s="2"/>
      <c r="J569" s="545" t="s">
        <v>2192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336" customFormat="1" x14ac:dyDescent="0.25">
      <c r="A570" s="547" t="s">
        <v>2224</v>
      </c>
      <c r="B570" s="335" t="s">
        <v>121</v>
      </c>
      <c r="C570" s="335" t="s">
        <v>238</v>
      </c>
      <c r="D570" s="507" t="s">
        <v>1450</v>
      </c>
      <c r="E570" s="545">
        <v>350952</v>
      </c>
      <c r="F570" s="545">
        <v>949241</v>
      </c>
      <c r="G570" s="422">
        <v>84.45</v>
      </c>
      <c r="H570" s="2"/>
      <c r="I570" s="2"/>
      <c r="J570" s="545" t="s">
        <v>2192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336" customFormat="1" x14ac:dyDescent="0.25">
      <c r="A571" s="547" t="s">
        <v>2224</v>
      </c>
      <c r="B571" s="335" t="s">
        <v>121</v>
      </c>
      <c r="C571" s="335" t="s">
        <v>238</v>
      </c>
      <c r="D571" s="507" t="s">
        <v>75</v>
      </c>
      <c r="E571" s="545">
        <v>350332</v>
      </c>
      <c r="F571" s="545">
        <v>949104</v>
      </c>
      <c r="G571" s="422">
        <v>85.73</v>
      </c>
      <c r="H571" s="2"/>
      <c r="I571" s="2"/>
      <c r="J571" s="545" t="s">
        <v>2192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336" customFormat="1" x14ac:dyDescent="0.25">
      <c r="A572" s="547" t="s">
        <v>2224</v>
      </c>
      <c r="B572" s="335" t="s">
        <v>121</v>
      </c>
      <c r="C572" s="335" t="s">
        <v>238</v>
      </c>
      <c r="D572" s="507" t="s">
        <v>2067</v>
      </c>
      <c r="E572" s="545">
        <v>353023</v>
      </c>
      <c r="F572" s="545">
        <v>954171</v>
      </c>
      <c r="G572" s="422">
        <v>92.95</v>
      </c>
      <c r="J572" s="545" t="s">
        <v>2192</v>
      </c>
    </row>
    <row r="573" spans="1:19" s="336" customFormat="1" x14ac:dyDescent="0.25">
      <c r="A573" s="547" t="s">
        <v>2224</v>
      </c>
      <c r="B573" s="335" t="s">
        <v>121</v>
      </c>
      <c r="C573" s="335" t="s">
        <v>238</v>
      </c>
      <c r="D573" s="507" t="s">
        <v>2229</v>
      </c>
      <c r="E573" s="545">
        <v>350038</v>
      </c>
      <c r="F573" s="545">
        <v>960564</v>
      </c>
      <c r="G573" s="422">
        <v>97.31</v>
      </c>
      <c r="J573" s="545" t="s">
        <v>2192</v>
      </c>
    </row>
    <row r="574" spans="1:19" s="336" customFormat="1" x14ac:dyDescent="0.25">
      <c r="A574" s="547" t="s">
        <v>2224</v>
      </c>
      <c r="B574" s="335" t="s">
        <v>121</v>
      </c>
      <c r="C574" s="335" t="s">
        <v>238</v>
      </c>
      <c r="D574" s="507" t="s">
        <v>2230</v>
      </c>
      <c r="E574" s="545">
        <v>350400</v>
      </c>
      <c r="F574" s="545">
        <v>949897</v>
      </c>
      <c r="G574" s="422">
        <v>36.49</v>
      </c>
      <c r="H574" s="2"/>
      <c r="I574" s="2"/>
      <c r="J574" s="545" t="s">
        <v>2192</v>
      </c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5">
      <c r="A575" s="547" t="s">
        <v>2224</v>
      </c>
      <c r="B575" s="335" t="s">
        <v>121</v>
      </c>
      <c r="C575" s="335" t="s">
        <v>238</v>
      </c>
      <c r="D575" s="507" t="s">
        <v>2231</v>
      </c>
      <c r="E575" s="545">
        <v>351500</v>
      </c>
      <c r="F575" s="545">
        <v>949338</v>
      </c>
      <c r="G575" s="422">
        <v>106.7</v>
      </c>
      <c r="J575" s="545" t="s">
        <v>2192</v>
      </c>
    </row>
    <row r="576" spans="1:19" s="336" customFormat="1" x14ac:dyDescent="0.25">
      <c r="A576" s="547" t="s">
        <v>2224</v>
      </c>
      <c r="B576" s="335" t="s">
        <v>121</v>
      </c>
      <c r="C576" s="335" t="s">
        <v>238</v>
      </c>
      <c r="D576" s="507" t="s">
        <v>2232</v>
      </c>
      <c r="E576" s="545">
        <v>217636</v>
      </c>
      <c r="F576" s="545">
        <v>953322</v>
      </c>
      <c r="G576" s="422">
        <v>114.29</v>
      </c>
      <c r="J576" s="545" t="s">
        <v>2192</v>
      </c>
    </row>
    <row r="577" spans="1:19" s="336" customFormat="1" x14ac:dyDescent="0.25">
      <c r="A577" s="547" t="s">
        <v>2224</v>
      </c>
      <c r="B577" s="335" t="s">
        <v>121</v>
      </c>
      <c r="C577" s="335" t="s">
        <v>238</v>
      </c>
      <c r="D577" s="507" t="s">
        <v>2128</v>
      </c>
      <c r="E577" s="545">
        <v>351893</v>
      </c>
      <c r="F577" s="545">
        <v>948833</v>
      </c>
      <c r="G577" s="422">
        <v>116.85</v>
      </c>
      <c r="J577" s="545" t="s">
        <v>2192</v>
      </c>
    </row>
    <row r="578" spans="1:19" s="336" customFormat="1" x14ac:dyDescent="0.25">
      <c r="A578" s="547" t="s">
        <v>2224</v>
      </c>
      <c r="B578" s="335" t="s">
        <v>121</v>
      </c>
      <c r="C578" s="335" t="s">
        <v>238</v>
      </c>
      <c r="D578" s="507" t="s">
        <v>2233</v>
      </c>
      <c r="E578" s="545">
        <v>351243</v>
      </c>
      <c r="F578" s="545">
        <v>947587</v>
      </c>
      <c r="G578" s="422">
        <v>74.75</v>
      </c>
      <c r="J578" s="545" t="s">
        <v>2192</v>
      </c>
    </row>
    <row r="579" spans="1:19" s="336" customFormat="1" x14ac:dyDescent="0.25">
      <c r="A579" s="547" t="s">
        <v>2224</v>
      </c>
      <c r="B579" s="335" t="s">
        <v>121</v>
      </c>
      <c r="C579" s="335" t="s">
        <v>238</v>
      </c>
      <c r="D579" s="507" t="s">
        <v>1291</v>
      </c>
      <c r="E579" s="545">
        <v>351726</v>
      </c>
      <c r="F579" s="545">
        <v>948170</v>
      </c>
      <c r="G579" s="422">
        <v>41.45</v>
      </c>
      <c r="J579" s="545" t="s">
        <v>2192</v>
      </c>
    </row>
    <row r="580" spans="1:19" s="336" customFormat="1" x14ac:dyDescent="0.25">
      <c r="A580" s="547" t="s">
        <v>2224</v>
      </c>
      <c r="B580" s="335" t="s">
        <v>121</v>
      </c>
      <c r="C580" s="335" t="s">
        <v>238</v>
      </c>
      <c r="D580" s="507" t="s">
        <v>2080</v>
      </c>
      <c r="E580" s="545">
        <v>351359</v>
      </c>
      <c r="F580" s="545">
        <v>952366</v>
      </c>
      <c r="G580" s="422">
        <v>258.95</v>
      </c>
      <c r="J580" s="545" t="s">
        <v>2192</v>
      </c>
    </row>
    <row r="581" spans="1:19" s="336" customFormat="1" x14ac:dyDescent="0.25">
      <c r="A581" s="547" t="s">
        <v>2224</v>
      </c>
      <c r="B581" s="335" t="s">
        <v>121</v>
      </c>
      <c r="C581" s="335" t="s">
        <v>238</v>
      </c>
      <c r="D581" s="507" t="s">
        <v>2121</v>
      </c>
      <c r="E581" s="545">
        <v>351874</v>
      </c>
      <c r="F581" s="545">
        <v>950444</v>
      </c>
      <c r="G581" s="422">
        <v>215.33</v>
      </c>
      <c r="J581" s="545" t="s">
        <v>2192</v>
      </c>
    </row>
    <row r="582" spans="1:19" s="336" customFormat="1" x14ac:dyDescent="0.25">
      <c r="A582" s="547" t="s">
        <v>2224</v>
      </c>
      <c r="B582" s="335" t="s">
        <v>121</v>
      </c>
      <c r="C582" s="335" t="s">
        <v>238</v>
      </c>
      <c r="D582" s="507" t="s">
        <v>2234</v>
      </c>
      <c r="E582" s="545">
        <v>353018</v>
      </c>
      <c r="F582" s="545">
        <v>949499</v>
      </c>
      <c r="G582" s="422">
        <v>262.76</v>
      </c>
      <c r="J582" s="545" t="s">
        <v>2192</v>
      </c>
    </row>
    <row r="583" spans="1:19" x14ac:dyDescent="0.25">
      <c r="A583" s="547" t="s">
        <v>2224</v>
      </c>
      <c r="B583" s="335" t="s">
        <v>121</v>
      </c>
      <c r="C583" s="335" t="s">
        <v>238</v>
      </c>
      <c r="D583" s="507" t="s">
        <v>2235</v>
      </c>
      <c r="E583" s="545">
        <v>218656</v>
      </c>
      <c r="F583" s="545">
        <v>949171</v>
      </c>
      <c r="G583" s="422">
        <v>150.72999999999999</v>
      </c>
      <c r="H583" s="336"/>
      <c r="I583" s="336"/>
      <c r="J583" s="545" t="s">
        <v>2192</v>
      </c>
      <c r="K583" s="336"/>
      <c r="L583" s="336"/>
      <c r="M583" s="336"/>
      <c r="N583" s="336"/>
      <c r="O583" s="336"/>
      <c r="P583" s="336"/>
      <c r="Q583" s="336"/>
      <c r="R583" s="336"/>
      <c r="S583" s="336"/>
    </row>
    <row r="584" spans="1:19" x14ac:dyDescent="0.25">
      <c r="A584" s="416" t="s">
        <v>2224</v>
      </c>
      <c r="B584" s="415" t="s">
        <v>121</v>
      </c>
      <c r="C584" s="414"/>
      <c r="D584" s="413" t="s">
        <v>2236</v>
      </c>
      <c r="E584" s="412"/>
      <c r="F584" s="414"/>
      <c r="G584" s="401">
        <v>36.549999999999997</v>
      </c>
      <c r="H584" s="414"/>
      <c r="I584" s="414"/>
      <c r="J584" s="401" t="s">
        <v>2237</v>
      </c>
      <c r="K584" s="414"/>
      <c r="L584" s="414"/>
      <c r="M584" s="414"/>
      <c r="N584" s="414"/>
      <c r="O584" s="414"/>
      <c r="P584" s="414"/>
      <c r="Q584" s="414"/>
      <c r="R584" s="414"/>
      <c r="S584" s="414"/>
    </row>
    <row r="585" spans="1:19" s="336" customFormat="1" x14ac:dyDescent="0.25">
      <c r="A585" s="410" t="s">
        <v>2224</v>
      </c>
      <c r="B585" s="327" t="s">
        <v>121</v>
      </c>
      <c r="C585" s="328"/>
      <c r="D585" s="421" t="s">
        <v>271</v>
      </c>
      <c r="E585" s="553">
        <v>1082</v>
      </c>
      <c r="F585" s="553">
        <v>914693</v>
      </c>
      <c r="G585" s="420">
        <v>-111.25</v>
      </c>
      <c r="H585" s="2"/>
      <c r="I585" s="2"/>
      <c r="J585" s="553" t="s">
        <v>2286</v>
      </c>
      <c r="K585" s="328"/>
      <c r="L585" s="328"/>
      <c r="M585" s="328"/>
      <c r="N585" s="328"/>
      <c r="O585" s="328"/>
      <c r="P585" s="328"/>
      <c r="Q585" s="328"/>
      <c r="R585" s="328"/>
      <c r="S585" s="328"/>
    </row>
    <row r="586" spans="1:19" s="336" customFormat="1" x14ac:dyDescent="0.25">
      <c r="A586" s="535">
        <v>42796</v>
      </c>
      <c r="B586" s="322" t="s">
        <v>127</v>
      </c>
      <c r="C586" s="584" t="s">
        <v>1997</v>
      </c>
      <c r="D586" s="392">
        <v>376266494990</v>
      </c>
      <c r="E586" s="550">
        <v>350484</v>
      </c>
      <c r="F586" s="562"/>
      <c r="G586" s="515">
        <f>7.84+35.36</f>
        <v>43.2</v>
      </c>
      <c r="H586" s="532">
        <v>2856954</v>
      </c>
      <c r="I586" s="562"/>
      <c r="J586" s="444" t="s">
        <v>2156</v>
      </c>
      <c r="K586" s="531"/>
      <c r="L586" s="531"/>
      <c r="M586" s="531"/>
      <c r="N586" s="531"/>
      <c r="O586" s="562"/>
      <c r="P586" s="562"/>
      <c r="Q586" s="562"/>
      <c r="R586" s="562"/>
      <c r="S586" s="562"/>
    </row>
    <row r="587" spans="1:19" x14ac:dyDescent="0.25">
      <c r="A587" s="535">
        <v>42797</v>
      </c>
      <c r="B587" s="322" t="s">
        <v>127</v>
      </c>
      <c r="C587" s="584" t="s">
        <v>1997</v>
      </c>
      <c r="D587" s="392">
        <v>376266494990</v>
      </c>
      <c r="E587" s="550">
        <v>350484</v>
      </c>
      <c r="F587" s="562"/>
      <c r="G587" s="515">
        <f>53.37+141.33</f>
        <v>194.70000000000002</v>
      </c>
      <c r="H587" s="532">
        <v>2849702</v>
      </c>
      <c r="I587" s="562"/>
      <c r="J587" s="444" t="s">
        <v>2156</v>
      </c>
      <c r="K587" s="562"/>
      <c r="L587" s="562"/>
      <c r="M587" s="562"/>
      <c r="N587" s="562"/>
      <c r="O587" s="562"/>
      <c r="P587" s="562"/>
      <c r="Q587" s="562"/>
      <c r="R587" s="562"/>
      <c r="S587" s="562"/>
    </row>
    <row r="588" spans="1:19" s="336" customFormat="1" x14ac:dyDescent="0.25">
      <c r="A588" s="535">
        <v>42799</v>
      </c>
      <c r="B588" s="322" t="s">
        <v>127</v>
      </c>
      <c r="C588" s="584" t="s">
        <v>1997</v>
      </c>
      <c r="D588" s="392">
        <v>376266494990</v>
      </c>
      <c r="E588" s="550">
        <v>350484</v>
      </c>
      <c r="F588" s="562"/>
      <c r="G588" s="515">
        <f>34.6+106.72</f>
        <v>141.32</v>
      </c>
      <c r="H588" s="532">
        <v>2867515</v>
      </c>
      <c r="I588" s="562"/>
      <c r="J588" s="444" t="s">
        <v>2156</v>
      </c>
      <c r="K588" s="562"/>
      <c r="L588" s="562"/>
      <c r="M588" s="562"/>
      <c r="N588" s="562"/>
      <c r="O588" s="562"/>
      <c r="P588" s="562"/>
      <c r="Q588" s="562"/>
      <c r="R588" s="562"/>
      <c r="S588" s="562"/>
    </row>
    <row r="589" spans="1:19" s="336" customFormat="1" x14ac:dyDescent="0.25">
      <c r="A589" s="530">
        <v>42795</v>
      </c>
      <c r="B589" s="335" t="s">
        <v>127</v>
      </c>
      <c r="C589" s="336" t="s">
        <v>151</v>
      </c>
      <c r="D589" s="529">
        <v>376268723990</v>
      </c>
      <c r="E589" s="342">
        <v>350843</v>
      </c>
      <c r="G589" s="514">
        <f>28.62+67.98</f>
        <v>96.600000000000009</v>
      </c>
      <c r="H589" s="545">
        <v>2850138</v>
      </c>
      <c r="J589" s="443" t="s">
        <v>2157</v>
      </c>
      <c r="K589" s="521"/>
    </row>
    <row r="590" spans="1:19" s="336" customFormat="1" x14ac:dyDescent="0.25">
      <c r="A590" s="530">
        <v>42796</v>
      </c>
      <c r="B590" s="335" t="s">
        <v>127</v>
      </c>
      <c r="C590" s="336" t="s">
        <v>151</v>
      </c>
      <c r="D590" s="529">
        <v>376268723990</v>
      </c>
      <c r="E590" s="342">
        <v>350843</v>
      </c>
      <c r="G590" s="514">
        <f>27.82+86.3</f>
        <v>114.12</v>
      </c>
      <c r="H590" s="545">
        <v>2859060</v>
      </c>
      <c r="J590" s="443" t="s">
        <v>2157</v>
      </c>
    </row>
    <row r="591" spans="1:19" s="336" customFormat="1" x14ac:dyDescent="0.25">
      <c r="A591" s="530">
        <v>42795</v>
      </c>
      <c r="B591" s="335" t="s">
        <v>127</v>
      </c>
      <c r="C591" s="335" t="s">
        <v>1997</v>
      </c>
      <c r="D591" s="529">
        <v>376271092995</v>
      </c>
      <c r="E591" s="342">
        <v>351307</v>
      </c>
      <c r="G591" s="514">
        <f>20.82+34.13</f>
        <v>54.95</v>
      </c>
      <c r="H591" s="545">
        <v>2848034</v>
      </c>
      <c r="J591" s="443" t="s">
        <v>2158</v>
      </c>
      <c r="K591" s="443"/>
      <c r="L591" s="443"/>
      <c r="M591" s="442"/>
      <c r="N591" s="442"/>
    </row>
    <row r="592" spans="1:19" s="336" customFormat="1" x14ac:dyDescent="0.25">
      <c r="A592" s="530">
        <v>42796</v>
      </c>
      <c r="B592" s="335" t="s">
        <v>127</v>
      </c>
      <c r="C592" s="335" t="s">
        <v>1997</v>
      </c>
      <c r="D592" s="529">
        <v>376268786997</v>
      </c>
      <c r="E592" s="342">
        <v>350875</v>
      </c>
      <c r="G592" s="514">
        <f>5.98+14.97</f>
        <v>20.950000000000003</v>
      </c>
      <c r="H592" s="545">
        <v>2856559</v>
      </c>
      <c r="J592" s="443" t="s">
        <v>2159</v>
      </c>
      <c r="K592" s="521"/>
      <c r="L592" s="521"/>
      <c r="M592" s="521"/>
      <c r="N592" s="521"/>
    </row>
    <row r="593" spans="1:19" s="336" customFormat="1" x14ac:dyDescent="0.25">
      <c r="A593" s="535">
        <v>42799</v>
      </c>
      <c r="B593" s="322" t="s">
        <v>127</v>
      </c>
      <c r="C593" s="584" t="s">
        <v>1997</v>
      </c>
      <c r="D593" s="392">
        <v>376268786997</v>
      </c>
      <c r="E593" s="550">
        <v>350875</v>
      </c>
      <c r="F593" s="562"/>
      <c r="G593" s="515">
        <f>7.42+15.85</f>
        <v>23.27</v>
      </c>
      <c r="H593" s="532">
        <v>2858458</v>
      </c>
      <c r="I593" s="562"/>
      <c r="J593" s="444" t="s">
        <v>2159</v>
      </c>
      <c r="K593" s="562"/>
      <c r="L593" s="562"/>
      <c r="M593" s="562"/>
      <c r="N593" s="562"/>
      <c r="O593" s="562"/>
      <c r="P593" s="562"/>
      <c r="Q593" s="562"/>
      <c r="R593" s="562"/>
      <c r="S593" s="562"/>
    </row>
    <row r="594" spans="1:19" s="336" customFormat="1" x14ac:dyDescent="0.25">
      <c r="A594" s="535">
        <v>42795</v>
      </c>
      <c r="B594" s="322" t="s">
        <v>127</v>
      </c>
      <c r="C594" s="562"/>
      <c r="D594" s="392">
        <v>376270713997</v>
      </c>
      <c r="E594" s="550">
        <v>351215</v>
      </c>
      <c r="F594" s="562"/>
      <c r="G594" s="515">
        <f>109+101.76</f>
        <v>210.76</v>
      </c>
      <c r="H594" s="532">
        <v>2846203</v>
      </c>
      <c r="I594" s="562"/>
      <c r="J594" s="441" t="s">
        <v>2160</v>
      </c>
      <c r="K594" s="531"/>
      <c r="L594" s="531"/>
      <c r="M594" s="562"/>
      <c r="N594" s="562"/>
      <c r="O594" s="562"/>
      <c r="P594" s="562"/>
      <c r="Q594" s="562"/>
      <c r="R594" s="562"/>
      <c r="S594" s="562"/>
    </row>
    <row r="595" spans="1:19" s="336" customFormat="1" x14ac:dyDescent="0.25">
      <c r="A595" s="535">
        <v>42796</v>
      </c>
      <c r="B595" s="322" t="s">
        <v>127</v>
      </c>
      <c r="C595" s="562"/>
      <c r="D595" s="392">
        <v>376270713997</v>
      </c>
      <c r="E595" s="550">
        <v>351215</v>
      </c>
      <c r="F595" s="562"/>
      <c r="G595" s="515">
        <f>90.95+122</f>
        <v>212.95</v>
      </c>
      <c r="H595" s="532">
        <v>2847247</v>
      </c>
      <c r="I595" s="562"/>
      <c r="J595" s="441" t="s">
        <v>2160</v>
      </c>
      <c r="K595" s="562"/>
      <c r="L595" s="562"/>
      <c r="M595" s="562"/>
      <c r="N595" s="562"/>
      <c r="O595" s="562"/>
      <c r="P595" s="562"/>
      <c r="Q595" s="562"/>
      <c r="R595" s="562"/>
      <c r="S595" s="562"/>
    </row>
    <row r="596" spans="1:19" s="336" customFormat="1" x14ac:dyDescent="0.25">
      <c r="A596" s="530">
        <v>42796</v>
      </c>
      <c r="B596" s="335" t="s">
        <v>127</v>
      </c>
      <c r="C596" s="335" t="s">
        <v>1997</v>
      </c>
      <c r="D596" s="529">
        <v>376266494990</v>
      </c>
      <c r="E596" s="545">
        <v>350484</v>
      </c>
      <c r="G596" s="506">
        <f>7.84+35.36</f>
        <v>43.2</v>
      </c>
      <c r="H596" s="545">
        <v>2856954</v>
      </c>
      <c r="J596" s="443" t="s">
        <v>2156</v>
      </c>
      <c r="K596" s="521"/>
      <c r="L596" s="521"/>
      <c r="M596" s="521"/>
      <c r="N596" s="521"/>
    </row>
    <row r="597" spans="1:19" s="336" customFormat="1" x14ac:dyDescent="0.25">
      <c r="A597" s="530">
        <v>42797</v>
      </c>
      <c r="B597" s="335" t="s">
        <v>127</v>
      </c>
      <c r="C597" s="335" t="s">
        <v>1997</v>
      </c>
      <c r="D597" s="529">
        <v>376266494990</v>
      </c>
      <c r="E597" s="545">
        <v>350484</v>
      </c>
      <c r="G597" s="506">
        <f>53.37+141.33</f>
        <v>194.70000000000002</v>
      </c>
      <c r="H597" s="545">
        <v>2849702</v>
      </c>
      <c r="J597" s="443" t="s">
        <v>2156</v>
      </c>
    </row>
    <row r="598" spans="1:19" s="336" customFormat="1" x14ac:dyDescent="0.25">
      <c r="A598" s="530">
        <v>42799</v>
      </c>
      <c r="B598" s="335" t="s">
        <v>127</v>
      </c>
      <c r="C598" s="335" t="s">
        <v>1997</v>
      </c>
      <c r="D598" s="529">
        <v>376266494990</v>
      </c>
      <c r="E598" s="545">
        <v>350484</v>
      </c>
      <c r="G598" s="506">
        <f>34.6+106.72</f>
        <v>141.32</v>
      </c>
      <c r="H598" s="545">
        <v>2867515</v>
      </c>
      <c r="J598" s="443" t="s">
        <v>2156</v>
      </c>
    </row>
    <row r="599" spans="1:19" s="336" customFormat="1" x14ac:dyDescent="0.25">
      <c r="A599" s="530">
        <v>42795</v>
      </c>
      <c r="B599" s="335" t="s">
        <v>127</v>
      </c>
      <c r="C599" s="335" t="s">
        <v>1997</v>
      </c>
      <c r="D599" s="529">
        <v>376268723990</v>
      </c>
      <c r="E599" s="545">
        <v>350843</v>
      </c>
      <c r="G599" s="506">
        <f>28.62+67.98</f>
        <v>96.600000000000009</v>
      </c>
      <c r="H599" s="545">
        <v>2850138</v>
      </c>
      <c r="J599" s="443" t="s">
        <v>2157</v>
      </c>
      <c r="K599" s="521"/>
    </row>
    <row r="600" spans="1:19" s="336" customFormat="1" x14ac:dyDescent="0.25">
      <c r="A600" s="530">
        <v>42796</v>
      </c>
      <c r="B600" s="335" t="s">
        <v>127</v>
      </c>
      <c r="C600" s="335" t="s">
        <v>1997</v>
      </c>
      <c r="D600" s="529">
        <v>376268723990</v>
      </c>
      <c r="E600" s="545">
        <v>350843</v>
      </c>
      <c r="G600" s="506">
        <f>27.82+86.3</f>
        <v>114.12</v>
      </c>
      <c r="H600" s="545">
        <v>2859060</v>
      </c>
      <c r="J600" s="443" t="s">
        <v>2157</v>
      </c>
    </row>
    <row r="601" spans="1:19" x14ac:dyDescent="0.25">
      <c r="A601" s="530">
        <v>42795</v>
      </c>
      <c r="B601" s="335" t="s">
        <v>127</v>
      </c>
      <c r="C601" s="335" t="s">
        <v>1997</v>
      </c>
      <c r="D601" s="529">
        <v>376271092995</v>
      </c>
      <c r="E601" s="545">
        <v>351307</v>
      </c>
      <c r="F601" s="336"/>
      <c r="G601" s="506">
        <f>20.82+34.13</f>
        <v>54.95</v>
      </c>
      <c r="H601" s="545">
        <v>2848034</v>
      </c>
      <c r="I601" s="336"/>
      <c r="J601" s="443" t="s">
        <v>2158</v>
      </c>
      <c r="K601" s="443"/>
      <c r="L601" s="443"/>
      <c r="M601" s="442"/>
      <c r="N601" s="442"/>
      <c r="O601" s="336"/>
      <c r="P601" s="336"/>
      <c r="Q601" s="336"/>
      <c r="R601" s="336"/>
      <c r="S601" s="336"/>
    </row>
    <row r="602" spans="1:19" x14ac:dyDescent="0.25">
      <c r="A602" s="530">
        <v>42796</v>
      </c>
      <c r="B602" s="335" t="s">
        <v>127</v>
      </c>
      <c r="C602" s="335" t="s">
        <v>1997</v>
      </c>
      <c r="D602" s="529">
        <v>376268786997</v>
      </c>
      <c r="E602" s="545">
        <v>350875</v>
      </c>
      <c r="F602" s="336"/>
      <c r="G602" s="506">
        <f>5.98+14.97</f>
        <v>20.950000000000003</v>
      </c>
      <c r="H602" s="545">
        <v>2856559</v>
      </c>
      <c r="I602" s="336"/>
      <c r="J602" s="443" t="s">
        <v>2159</v>
      </c>
      <c r="K602" s="521"/>
      <c r="L602" s="521"/>
      <c r="M602" s="521"/>
      <c r="N602" s="521"/>
      <c r="O602" s="336"/>
      <c r="P602" s="336"/>
      <c r="Q602" s="336"/>
      <c r="R602" s="336"/>
      <c r="S602" s="336"/>
    </row>
    <row r="603" spans="1:19" s="336" customFormat="1" x14ac:dyDescent="0.25">
      <c r="A603" s="530">
        <v>42799</v>
      </c>
      <c r="B603" s="335" t="s">
        <v>127</v>
      </c>
      <c r="C603" s="335" t="s">
        <v>1997</v>
      </c>
      <c r="D603" s="529">
        <v>376268786997</v>
      </c>
      <c r="E603" s="545">
        <v>350875</v>
      </c>
      <c r="G603" s="506">
        <f>7.42+15.85</f>
        <v>23.27</v>
      </c>
      <c r="H603" s="545">
        <v>2858458</v>
      </c>
      <c r="J603" s="443" t="s">
        <v>2159</v>
      </c>
    </row>
    <row r="604" spans="1:19" s="336" customFormat="1" x14ac:dyDescent="0.25">
      <c r="A604" s="535">
        <v>42795</v>
      </c>
      <c r="B604" s="322" t="s">
        <v>127</v>
      </c>
      <c r="C604" s="562"/>
      <c r="D604" s="392">
        <v>376270713997</v>
      </c>
      <c r="E604" s="532">
        <v>351215</v>
      </c>
      <c r="F604" s="562"/>
      <c r="G604" s="399">
        <f>109</f>
        <v>109</v>
      </c>
      <c r="H604" s="532">
        <v>2846203</v>
      </c>
      <c r="I604" s="562"/>
      <c r="J604" s="441" t="s">
        <v>2160</v>
      </c>
      <c r="K604" s="531"/>
      <c r="L604" s="531"/>
      <c r="M604" s="562"/>
      <c r="N604" s="562"/>
      <c r="O604" s="562"/>
      <c r="P604" s="562"/>
      <c r="Q604" s="562"/>
      <c r="R604" s="562"/>
      <c r="S604" s="562"/>
    </row>
    <row r="605" spans="1:19" s="336" customFormat="1" x14ac:dyDescent="0.25">
      <c r="A605" s="535">
        <v>42795</v>
      </c>
      <c r="B605" s="322" t="s">
        <v>127</v>
      </c>
      <c r="C605" s="562"/>
      <c r="D605" s="392">
        <v>376270713997</v>
      </c>
      <c r="E605" s="532">
        <v>351215</v>
      </c>
      <c r="F605" s="562"/>
      <c r="G605" s="399">
        <v>101.76</v>
      </c>
      <c r="H605" s="532">
        <v>2846216</v>
      </c>
      <c r="I605" s="562"/>
      <c r="J605" s="441" t="s">
        <v>2160</v>
      </c>
      <c r="K605" s="531"/>
      <c r="L605" s="531"/>
      <c r="M605" s="562"/>
      <c r="N605" s="562"/>
      <c r="O605" s="562"/>
      <c r="P605" s="562"/>
      <c r="Q605" s="562"/>
      <c r="R605" s="562"/>
      <c r="S605" s="562"/>
    </row>
    <row r="606" spans="1:19" s="336" customFormat="1" x14ac:dyDescent="0.25">
      <c r="A606" s="535">
        <v>42796</v>
      </c>
      <c r="B606" s="322" t="s">
        <v>127</v>
      </c>
      <c r="C606" s="562"/>
      <c r="D606" s="392">
        <v>376270713997</v>
      </c>
      <c r="E606" s="532">
        <v>351215</v>
      </c>
      <c r="F606" s="562"/>
      <c r="G606" s="399">
        <f>90.95</f>
        <v>90.95</v>
      </c>
      <c r="H606" s="532">
        <v>2847247</v>
      </c>
      <c r="I606" s="562"/>
      <c r="J606" s="441" t="s">
        <v>2160</v>
      </c>
      <c r="K606" s="562"/>
      <c r="L606" s="562"/>
      <c r="M606" s="562"/>
      <c r="N606" s="562"/>
      <c r="O606" s="562"/>
      <c r="P606" s="562"/>
      <c r="Q606" s="562"/>
      <c r="R606" s="562"/>
      <c r="S606" s="562"/>
    </row>
    <row r="607" spans="1:19" s="336" customFormat="1" x14ac:dyDescent="0.25">
      <c r="A607" s="535">
        <v>42796</v>
      </c>
      <c r="B607" s="322" t="s">
        <v>127</v>
      </c>
      <c r="C607" s="562"/>
      <c r="D607" s="392">
        <v>376270713997</v>
      </c>
      <c r="E607" s="532">
        <v>351215</v>
      </c>
      <c r="F607" s="562"/>
      <c r="G607" s="399">
        <v>122</v>
      </c>
      <c r="H607" s="532">
        <v>2856365</v>
      </c>
      <c r="I607" s="562"/>
      <c r="J607" s="441" t="s">
        <v>2160</v>
      </c>
      <c r="K607" s="562"/>
      <c r="L607" s="562"/>
      <c r="M607" s="562"/>
      <c r="N607" s="562"/>
      <c r="O607" s="562"/>
      <c r="P607" s="562"/>
      <c r="Q607" s="562"/>
      <c r="R607" s="562"/>
      <c r="S607" s="562"/>
    </row>
    <row r="608" spans="1:19" s="336" customFormat="1" x14ac:dyDescent="0.25">
      <c r="A608" s="535">
        <v>42800</v>
      </c>
      <c r="B608" s="322" t="s">
        <v>127</v>
      </c>
      <c r="C608" s="562"/>
      <c r="D608" s="434">
        <v>376270713997</v>
      </c>
      <c r="E608" s="585">
        <v>351215</v>
      </c>
      <c r="F608" s="562"/>
      <c r="G608" s="399">
        <v>109.8</v>
      </c>
      <c r="H608" s="532">
        <v>2869424</v>
      </c>
      <c r="I608" s="562"/>
      <c r="J608" s="441" t="s">
        <v>2160</v>
      </c>
      <c r="K608" s="562"/>
      <c r="L608" s="562"/>
      <c r="M608" s="562"/>
      <c r="N608" s="562"/>
      <c r="O608" s="562"/>
      <c r="P608" s="562"/>
      <c r="Q608" s="562"/>
      <c r="R608" s="562"/>
      <c r="S608" s="562"/>
    </row>
    <row r="609" spans="1:19" s="336" customFormat="1" x14ac:dyDescent="0.25">
      <c r="A609" s="535">
        <v>42803</v>
      </c>
      <c r="B609" s="322" t="s">
        <v>127</v>
      </c>
      <c r="C609" s="562"/>
      <c r="D609" s="434">
        <v>376270713997</v>
      </c>
      <c r="E609" s="585">
        <v>351215</v>
      </c>
      <c r="F609" s="562"/>
      <c r="G609" s="399">
        <v>92.67</v>
      </c>
      <c r="H609" s="532">
        <v>2883540</v>
      </c>
      <c r="I609" s="562"/>
      <c r="J609" s="441" t="s">
        <v>2160</v>
      </c>
      <c r="K609" s="562"/>
      <c r="L609" s="562"/>
      <c r="M609" s="562"/>
      <c r="N609" s="562"/>
      <c r="O609" s="562"/>
      <c r="P609" s="562"/>
      <c r="Q609" s="562"/>
      <c r="R609" s="562"/>
      <c r="S609" s="562"/>
    </row>
    <row r="610" spans="1:19" s="336" customFormat="1" x14ac:dyDescent="0.25">
      <c r="A610" s="535">
        <v>42804</v>
      </c>
      <c r="B610" s="322" t="s">
        <v>127</v>
      </c>
      <c r="C610" s="562"/>
      <c r="D610" s="434">
        <v>376270713997</v>
      </c>
      <c r="E610" s="585">
        <v>351215</v>
      </c>
      <c r="F610" s="562"/>
      <c r="G610" s="399">
        <v>40</v>
      </c>
      <c r="H610" s="532">
        <v>2889723</v>
      </c>
      <c r="I610" s="562"/>
      <c r="J610" s="441" t="s">
        <v>2160</v>
      </c>
      <c r="K610" s="562"/>
      <c r="L610" s="562"/>
      <c r="M610" s="562"/>
      <c r="N610" s="562"/>
      <c r="O610" s="562"/>
      <c r="P610" s="562"/>
      <c r="Q610" s="562"/>
      <c r="R610" s="562"/>
      <c r="S610" s="562"/>
    </row>
    <row r="611" spans="1:19" s="336" customFormat="1" x14ac:dyDescent="0.25">
      <c r="A611" s="530">
        <v>42800</v>
      </c>
      <c r="B611" s="335" t="s">
        <v>127</v>
      </c>
      <c r="C611" s="335" t="s">
        <v>1997</v>
      </c>
      <c r="D611" s="529">
        <v>376268723990</v>
      </c>
      <c r="E611" s="545">
        <v>350843</v>
      </c>
      <c r="G611" s="506">
        <f>14.6+50.62</f>
        <v>65.22</v>
      </c>
      <c r="H611" s="545">
        <v>2865371</v>
      </c>
      <c r="J611" s="521" t="s">
        <v>2169</v>
      </c>
    </row>
    <row r="612" spans="1:19" s="336" customFormat="1" x14ac:dyDescent="0.25">
      <c r="A612" s="530">
        <v>42800</v>
      </c>
      <c r="B612" s="335" t="s">
        <v>127</v>
      </c>
      <c r="C612" s="335" t="s">
        <v>1997</v>
      </c>
      <c r="D612" s="529">
        <v>376268723990</v>
      </c>
      <c r="E612" s="545">
        <v>350843</v>
      </c>
      <c r="G612" s="506">
        <f>32.85+111.35</f>
        <v>144.19999999999999</v>
      </c>
      <c r="H612" s="545">
        <v>2867465</v>
      </c>
      <c r="J612" s="521" t="s">
        <v>2169</v>
      </c>
    </row>
    <row r="613" spans="1:19" s="336" customFormat="1" x14ac:dyDescent="0.25">
      <c r="A613" s="530">
        <v>42801</v>
      </c>
      <c r="B613" s="335" t="s">
        <v>127</v>
      </c>
      <c r="C613" s="335" t="s">
        <v>1997</v>
      </c>
      <c r="D613" s="529">
        <v>376268723990</v>
      </c>
      <c r="E613" s="545">
        <v>350843</v>
      </c>
      <c r="G613" s="506">
        <f>9.4+32.63</f>
        <v>42.03</v>
      </c>
      <c r="H613" s="545">
        <v>2871374</v>
      </c>
      <c r="J613" s="521" t="s">
        <v>2169</v>
      </c>
    </row>
    <row r="614" spans="1:19" s="336" customFormat="1" x14ac:dyDescent="0.25">
      <c r="A614" s="530">
        <v>42801</v>
      </c>
      <c r="B614" s="335" t="s">
        <v>127</v>
      </c>
      <c r="C614" s="335" t="s">
        <v>1997</v>
      </c>
      <c r="D614" s="529">
        <v>376268723990</v>
      </c>
      <c r="E614" s="545">
        <v>350843</v>
      </c>
      <c r="G614" s="506">
        <f>13.61+47.25</f>
        <v>60.86</v>
      </c>
      <c r="H614" s="545">
        <v>2871565</v>
      </c>
      <c r="J614" s="521" t="s">
        <v>2169</v>
      </c>
    </row>
    <row r="615" spans="1:19" s="336" customFormat="1" x14ac:dyDescent="0.25">
      <c r="A615" s="530">
        <v>42801</v>
      </c>
      <c r="B615" s="335" t="s">
        <v>127</v>
      </c>
      <c r="C615" s="335" t="s">
        <v>1997</v>
      </c>
      <c r="D615" s="529">
        <v>376268723990</v>
      </c>
      <c r="E615" s="545">
        <v>350843</v>
      </c>
      <c r="G615" s="506">
        <f>11.58+52.83</f>
        <v>64.41</v>
      </c>
      <c r="H615" s="545">
        <v>2875447</v>
      </c>
      <c r="J615" s="521" t="s">
        <v>2169</v>
      </c>
    </row>
    <row r="616" spans="1:19" s="336" customFormat="1" x14ac:dyDescent="0.25">
      <c r="A616" s="530">
        <v>42801</v>
      </c>
      <c r="B616" s="335" t="s">
        <v>127</v>
      </c>
      <c r="C616" s="335" t="s">
        <v>1997</v>
      </c>
      <c r="D616" s="529">
        <v>376268723990</v>
      </c>
      <c r="E616" s="545">
        <v>350843</v>
      </c>
      <c r="G616" s="506">
        <f>21.45+49.02</f>
        <v>70.47</v>
      </c>
      <c r="H616" s="545">
        <v>2875779</v>
      </c>
      <c r="J616" s="521" t="s">
        <v>2169</v>
      </c>
    </row>
    <row r="617" spans="1:19" s="336" customFormat="1" x14ac:dyDescent="0.25">
      <c r="A617" s="530">
        <v>42801</v>
      </c>
      <c r="B617" s="335" t="s">
        <v>127</v>
      </c>
      <c r="C617" s="335" t="s">
        <v>1997</v>
      </c>
      <c r="D617" s="529">
        <v>376268723990</v>
      </c>
      <c r="E617" s="545">
        <v>350843</v>
      </c>
      <c r="G617" s="506">
        <f>39.82+95.03</f>
        <v>134.85</v>
      </c>
      <c r="H617" s="545">
        <v>2877295</v>
      </c>
      <c r="J617" s="521" t="s">
        <v>2169</v>
      </c>
    </row>
    <row r="618" spans="1:19" s="336" customFormat="1" x14ac:dyDescent="0.25">
      <c r="A618" s="530">
        <v>42802</v>
      </c>
      <c r="B618" s="335" t="s">
        <v>127</v>
      </c>
      <c r="C618" s="335" t="s">
        <v>1997</v>
      </c>
      <c r="D618" s="529">
        <v>376268723990</v>
      </c>
      <c r="E618" s="545">
        <v>350843</v>
      </c>
      <c r="G618" s="506">
        <f>3.58+38.65</f>
        <v>42.23</v>
      </c>
      <c r="H618" s="545">
        <v>2879715</v>
      </c>
      <c r="J618" s="521" t="s">
        <v>2169</v>
      </c>
    </row>
    <row r="619" spans="1:19" x14ac:dyDescent="0.25">
      <c r="A619" s="530">
        <v>42803</v>
      </c>
      <c r="B619" s="335" t="s">
        <v>127</v>
      </c>
      <c r="C619" s="335" t="s">
        <v>1997</v>
      </c>
      <c r="D619" s="529">
        <v>376268723990</v>
      </c>
      <c r="E619" s="545">
        <v>350843</v>
      </c>
      <c r="F619" s="336"/>
      <c r="G619" s="506">
        <f>19.73+68.51</f>
        <v>88.240000000000009</v>
      </c>
      <c r="H619" s="545">
        <v>2880933</v>
      </c>
      <c r="I619" s="336"/>
      <c r="J619" s="521" t="s">
        <v>2169</v>
      </c>
      <c r="K619" s="336"/>
      <c r="L619" s="336"/>
      <c r="M619" s="336"/>
      <c r="N619" s="336"/>
      <c r="O619" s="336"/>
      <c r="P619" s="336"/>
      <c r="Q619" s="336"/>
      <c r="R619" s="336"/>
      <c r="S619" s="336"/>
    </row>
    <row r="620" spans="1:19" s="336" customFormat="1" x14ac:dyDescent="0.25">
      <c r="A620" s="530">
        <v>42803</v>
      </c>
      <c r="B620" s="335" t="s">
        <v>127</v>
      </c>
      <c r="C620" s="335" t="s">
        <v>1997</v>
      </c>
      <c r="D620" s="529">
        <v>376268723990</v>
      </c>
      <c r="E620" s="545">
        <v>350843</v>
      </c>
      <c r="G620" s="506">
        <f>12.41+43.1</f>
        <v>55.510000000000005</v>
      </c>
      <c r="H620" s="545">
        <v>2880977</v>
      </c>
      <c r="J620" s="521" t="s">
        <v>2169</v>
      </c>
    </row>
    <row r="621" spans="1:19" s="336" customFormat="1" x14ac:dyDescent="0.25">
      <c r="A621" s="530">
        <v>42803</v>
      </c>
      <c r="B621" s="335" t="s">
        <v>127</v>
      </c>
      <c r="C621" s="335" t="s">
        <v>1997</v>
      </c>
      <c r="D621" s="529">
        <v>376268723990</v>
      </c>
      <c r="E621" s="545">
        <v>350843</v>
      </c>
      <c r="G621" s="506">
        <f>31.62+64.99</f>
        <v>96.61</v>
      </c>
      <c r="H621" s="545">
        <v>2885234</v>
      </c>
      <c r="J621" s="521" t="s">
        <v>2169</v>
      </c>
    </row>
    <row r="622" spans="1:19" s="336" customFormat="1" x14ac:dyDescent="0.25">
      <c r="A622" s="530">
        <v>42804</v>
      </c>
      <c r="B622" s="335" t="s">
        <v>127</v>
      </c>
      <c r="C622" s="335" t="s">
        <v>1997</v>
      </c>
      <c r="D622" s="529">
        <v>376268723990</v>
      </c>
      <c r="E622" s="545">
        <v>350843</v>
      </c>
      <c r="G622" s="506">
        <f>17.1+9.12</f>
        <v>26.22</v>
      </c>
      <c r="H622" s="545">
        <v>2887749</v>
      </c>
      <c r="J622" s="521" t="s">
        <v>2169</v>
      </c>
    </row>
    <row r="623" spans="1:19" s="336" customFormat="1" x14ac:dyDescent="0.25">
      <c r="A623" s="530">
        <v>42800</v>
      </c>
      <c r="B623" s="335" t="s">
        <v>127</v>
      </c>
      <c r="C623" s="335" t="s">
        <v>1997</v>
      </c>
      <c r="D623" s="529">
        <v>376266494990</v>
      </c>
      <c r="E623" s="545">
        <v>350484</v>
      </c>
      <c r="G623" s="506">
        <f>59.39+171.55</f>
        <v>230.94</v>
      </c>
      <c r="H623" s="545">
        <v>2870216</v>
      </c>
      <c r="J623" s="495" t="s">
        <v>2170</v>
      </c>
    </row>
    <row r="624" spans="1:19" s="336" customFormat="1" x14ac:dyDescent="0.25">
      <c r="A624" s="530">
        <v>42800</v>
      </c>
      <c r="B624" s="335" t="s">
        <v>127</v>
      </c>
      <c r="C624" s="335" t="s">
        <v>1997</v>
      </c>
      <c r="D624" s="529">
        <v>376271092995</v>
      </c>
      <c r="E624" s="545">
        <v>351307</v>
      </c>
      <c r="G624" s="506">
        <f>9.91+56.04</f>
        <v>65.95</v>
      </c>
      <c r="H624" s="545">
        <v>2870823</v>
      </c>
      <c r="J624" s="495" t="s">
        <v>2171</v>
      </c>
    </row>
    <row r="625" spans="1:19" s="336" customFormat="1" x14ac:dyDescent="0.25">
      <c r="A625" s="530">
        <v>42802</v>
      </c>
      <c r="B625" s="335" t="s">
        <v>127</v>
      </c>
      <c r="C625" s="335" t="s">
        <v>1997</v>
      </c>
      <c r="D625" s="529">
        <v>376271092995</v>
      </c>
      <c r="E625" s="545">
        <v>351307</v>
      </c>
      <c r="G625" s="506">
        <f xml:space="preserve"> 4.33+32.03</f>
        <v>36.36</v>
      </c>
      <c r="H625" s="545">
        <v>2877250</v>
      </c>
      <c r="J625" s="495" t="s">
        <v>2171</v>
      </c>
    </row>
    <row r="626" spans="1:19" s="336" customFormat="1" x14ac:dyDescent="0.25">
      <c r="A626" s="530">
        <v>42803</v>
      </c>
      <c r="B626" s="335" t="s">
        <v>127</v>
      </c>
      <c r="C626" s="335" t="s">
        <v>1997</v>
      </c>
      <c r="D626" s="529">
        <v>376271092995</v>
      </c>
      <c r="E626" s="545">
        <v>351307</v>
      </c>
      <c r="G626" s="506">
        <f>14.85+89.1</f>
        <v>103.94999999999999</v>
      </c>
      <c r="H626" s="545">
        <v>2885193</v>
      </c>
      <c r="J626" s="495" t="s">
        <v>2171</v>
      </c>
    </row>
    <row r="627" spans="1:19" s="336" customFormat="1" x14ac:dyDescent="0.25">
      <c r="A627" s="530">
        <v>42804</v>
      </c>
      <c r="B627" s="335" t="s">
        <v>127</v>
      </c>
      <c r="C627" s="335" t="s">
        <v>1997</v>
      </c>
      <c r="D627" s="529">
        <v>376271092995</v>
      </c>
      <c r="E627" s="545">
        <v>351307</v>
      </c>
      <c r="G627" s="506">
        <f>20.27+25.68</f>
        <v>45.95</v>
      </c>
      <c r="H627" s="545">
        <v>2890105</v>
      </c>
      <c r="J627" s="495" t="s">
        <v>2171</v>
      </c>
    </row>
    <row r="628" spans="1:19" s="336" customFormat="1" x14ac:dyDescent="0.25">
      <c r="A628" s="530">
        <v>42801</v>
      </c>
      <c r="B628" s="335" t="s">
        <v>127</v>
      </c>
      <c r="C628" s="335" t="s">
        <v>1997</v>
      </c>
      <c r="D628" s="529">
        <v>376268786997</v>
      </c>
      <c r="E628" s="545">
        <v>350875</v>
      </c>
      <c r="G628" s="506">
        <f>36.65+72.48</f>
        <v>109.13</v>
      </c>
      <c r="H628" s="545">
        <v>2865165</v>
      </c>
      <c r="J628" s="495" t="s">
        <v>2172</v>
      </c>
    </row>
    <row r="629" spans="1:19" s="336" customFormat="1" x14ac:dyDescent="0.25">
      <c r="A629" s="535">
        <v>42807</v>
      </c>
      <c r="B629" s="322" t="s">
        <v>127</v>
      </c>
      <c r="C629" s="562" t="s">
        <v>2173</v>
      </c>
      <c r="D629" s="392">
        <v>376270713997</v>
      </c>
      <c r="E629" s="550">
        <v>351215</v>
      </c>
      <c r="F629" s="562"/>
      <c r="G629" s="515">
        <f>25.99+41.75</f>
        <v>67.739999999999995</v>
      </c>
      <c r="H629" s="532">
        <v>2896676</v>
      </c>
      <c r="I629" s="562"/>
      <c r="J629" s="532" t="s">
        <v>2186</v>
      </c>
      <c r="K629" s="562"/>
      <c r="L629" s="562"/>
      <c r="M629" s="562"/>
      <c r="N629" s="562"/>
      <c r="O629" s="562"/>
      <c r="P629" s="562"/>
      <c r="Q629" s="562"/>
      <c r="R629" s="562"/>
      <c r="S629" s="562"/>
    </row>
    <row r="630" spans="1:19" x14ac:dyDescent="0.25">
      <c r="A630" s="535">
        <v>42806</v>
      </c>
      <c r="B630" s="322" t="s">
        <v>127</v>
      </c>
      <c r="C630" s="562"/>
      <c r="D630" s="392">
        <v>376270713997</v>
      </c>
      <c r="E630" s="550">
        <v>351215</v>
      </c>
      <c r="F630" s="562"/>
      <c r="G630" s="515">
        <v>52.2</v>
      </c>
      <c r="H630" s="532">
        <v>2891800</v>
      </c>
      <c r="I630" s="562"/>
      <c r="J630" s="532" t="s">
        <v>273</v>
      </c>
      <c r="K630" s="562"/>
      <c r="L630" s="562"/>
      <c r="M630" s="562"/>
      <c r="N630" s="562"/>
      <c r="O630" s="562"/>
      <c r="P630" s="562"/>
      <c r="Q630" s="562"/>
      <c r="R630" s="562"/>
      <c r="S630" s="562"/>
    </row>
    <row r="631" spans="1:19" x14ac:dyDescent="0.25">
      <c r="A631" s="535">
        <v>42806</v>
      </c>
      <c r="B631" s="322" t="s">
        <v>127</v>
      </c>
      <c r="C631" s="562"/>
      <c r="D631" s="392">
        <v>376270713997</v>
      </c>
      <c r="E631" s="550">
        <v>351215</v>
      </c>
      <c r="F631" s="562"/>
      <c r="G631" s="515">
        <v>-15</v>
      </c>
      <c r="H631" s="532">
        <v>2846216</v>
      </c>
      <c r="I631" s="562"/>
      <c r="J631" s="532" t="s">
        <v>273</v>
      </c>
      <c r="K631" s="562"/>
      <c r="L631" s="562"/>
      <c r="M631" s="562"/>
      <c r="N631" s="562"/>
      <c r="O631" s="562"/>
      <c r="P631" s="562"/>
      <c r="Q631" s="562"/>
      <c r="R631" s="562"/>
      <c r="S631" s="562"/>
    </row>
    <row r="632" spans="1:19" x14ac:dyDescent="0.25">
      <c r="A632" s="535">
        <v>42806</v>
      </c>
      <c r="B632" s="322" t="s">
        <v>127</v>
      </c>
      <c r="C632" s="562"/>
      <c r="D632" s="392">
        <v>376270713997</v>
      </c>
      <c r="E632" s="550">
        <v>351215</v>
      </c>
      <c r="F632" s="562"/>
      <c r="G632" s="515">
        <v>96.08</v>
      </c>
      <c r="H632" s="532">
        <v>2906382</v>
      </c>
      <c r="I632" s="562"/>
      <c r="J632" s="532" t="s">
        <v>273</v>
      </c>
      <c r="K632" s="562"/>
      <c r="L632" s="562"/>
      <c r="M632" s="562"/>
      <c r="N632" s="562"/>
      <c r="O632" s="562"/>
      <c r="P632" s="562"/>
      <c r="Q632" s="562"/>
      <c r="R632" s="562"/>
      <c r="S632" s="562"/>
    </row>
    <row r="633" spans="1:19" x14ac:dyDescent="0.25">
      <c r="A633" s="530">
        <v>42806</v>
      </c>
      <c r="B633" s="335" t="s">
        <v>127</v>
      </c>
      <c r="C633" s="335" t="s">
        <v>1997</v>
      </c>
      <c r="D633" s="529">
        <v>376268723990</v>
      </c>
      <c r="E633" s="342">
        <v>350843</v>
      </c>
      <c r="F633" s="336"/>
      <c r="G633" s="506">
        <f>40.8+62.51</f>
        <v>103.31</v>
      </c>
      <c r="H633" s="545">
        <v>2891165</v>
      </c>
      <c r="I633" s="336"/>
      <c r="J633" s="545" t="s">
        <v>2187</v>
      </c>
      <c r="K633" s="336"/>
      <c r="L633" s="336"/>
      <c r="M633" s="336"/>
      <c r="N633" s="336"/>
      <c r="O633" s="336"/>
      <c r="P633" s="336"/>
      <c r="Q633" s="336"/>
      <c r="R633" s="336"/>
      <c r="S633" s="336"/>
    </row>
    <row r="634" spans="1:19" x14ac:dyDescent="0.25">
      <c r="A634" s="530">
        <v>42807</v>
      </c>
      <c r="B634" s="335" t="s">
        <v>127</v>
      </c>
      <c r="C634" s="335" t="s">
        <v>1997</v>
      </c>
      <c r="D634" s="529">
        <v>376268723990</v>
      </c>
      <c r="E634" s="342">
        <v>350843</v>
      </c>
      <c r="F634" s="336"/>
      <c r="G634" s="506">
        <f>20.29+46.31</f>
        <v>66.599999999999994</v>
      </c>
      <c r="H634" s="545">
        <v>2896312</v>
      </c>
      <c r="I634" s="336"/>
      <c r="J634" s="545" t="s">
        <v>2187</v>
      </c>
      <c r="K634" s="336"/>
      <c r="L634" s="336"/>
      <c r="M634" s="336"/>
      <c r="N634" s="336"/>
      <c r="O634" s="336"/>
      <c r="P634" s="336"/>
      <c r="Q634" s="336"/>
      <c r="R634" s="336"/>
      <c r="S634" s="336"/>
    </row>
    <row r="635" spans="1:19" s="336" customFormat="1" x14ac:dyDescent="0.25">
      <c r="A635" s="530">
        <v>42807</v>
      </c>
      <c r="B635" s="335" t="s">
        <v>127</v>
      </c>
      <c r="C635" s="335" t="s">
        <v>1997</v>
      </c>
      <c r="D635" s="529">
        <v>376268723990</v>
      </c>
      <c r="E635" s="342">
        <v>350843</v>
      </c>
      <c r="G635" s="506">
        <f>2.48+26.85</f>
        <v>29.330000000000002</v>
      </c>
      <c r="H635" s="545">
        <v>2894587</v>
      </c>
      <c r="J635" s="545" t="s">
        <v>2187</v>
      </c>
    </row>
    <row r="636" spans="1:19" s="336" customFormat="1" x14ac:dyDescent="0.25">
      <c r="A636" s="530">
        <v>42807</v>
      </c>
      <c r="B636" s="335" t="s">
        <v>127</v>
      </c>
      <c r="C636" s="335" t="s">
        <v>1997</v>
      </c>
      <c r="D636" s="529">
        <v>376268723990</v>
      </c>
      <c r="E636" s="342">
        <v>350843</v>
      </c>
      <c r="G636" s="506">
        <f>44.68+102.13</f>
        <v>146.81</v>
      </c>
      <c r="H636" s="545">
        <v>2892294</v>
      </c>
      <c r="J636" s="545" t="s">
        <v>2187</v>
      </c>
    </row>
    <row r="637" spans="1:19" s="336" customFormat="1" x14ac:dyDescent="0.25">
      <c r="A637" s="530">
        <v>42807</v>
      </c>
      <c r="B637" s="335" t="s">
        <v>127</v>
      </c>
      <c r="C637" s="335" t="s">
        <v>1997</v>
      </c>
      <c r="D637" s="529">
        <v>376268723990</v>
      </c>
      <c r="E637" s="342">
        <v>350843</v>
      </c>
      <c r="G637" s="506">
        <f>31.59+65.81</f>
        <v>97.4</v>
      </c>
      <c r="H637" s="545">
        <v>2888348</v>
      </c>
      <c r="J637" s="545" t="s">
        <v>2187</v>
      </c>
    </row>
    <row r="638" spans="1:19" s="336" customFormat="1" x14ac:dyDescent="0.25">
      <c r="A638" s="530">
        <v>42808</v>
      </c>
      <c r="B638" s="335" t="s">
        <v>127</v>
      </c>
      <c r="C638" s="335" t="s">
        <v>1997</v>
      </c>
      <c r="D638" s="529">
        <v>376268723990</v>
      </c>
      <c r="E638" s="342">
        <v>350843</v>
      </c>
      <c r="G638" s="506">
        <f>23.34+98.69</f>
        <v>122.03</v>
      </c>
      <c r="H638" s="545">
        <v>2897599</v>
      </c>
      <c r="J638" s="545" t="s">
        <v>2187</v>
      </c>
    </row>
    <row r="639" spans="1:19" s="336" customFormat="1" x14ac:dyDescent="0.25">
      <c r="A639" s="530">
        <v>42808</v>
      </c>
      <c r="B639" s="335" t="s">
        <v>127</v>
      </c>
      <c r="C639" s="335" t="s">
        <v>1997</v>
      </c>
      <c r="D639" s="529">
        <v>376268723990</v>
      </c>
      <c r="E639" s="342">
        <v>350843</v>
      </c>
      <c r="G639" s="506">
        <f>26.89+103.49</f>
        <v>130.38</v>
      </c>
      <c r="H639" s="545">
        <v>2897288</v>
      </c>
      <c r="J639" s="545" t="s">
        <v>2187</v>
      </c>
    </row>
    <row r="640" spans="1:19" s="336" customFormat="1" x14ac:dyDescent="0.25">
      <c r="A640" s="530">
        <v>42808</v>
      </c>
      <c r="B640" s="335" t="s">
        <v>127</v>
      </c>
      <c r="C640" s="335" t="s">
        <v>1997</v>
      </c>
      <c r="D640" s="529">
        <v>376268723990</v>
      </c>
      <c r="E640" s="342">
        <v>350843</v>
      </c>
      <c r="G640" s="506">
        <f>6.61+15.13</f>
        <v>21.740000000000002</v>
      </c>
      <c r="H640" s="545">
        <v>2899016</v>
      </c>
      <c r="J640" s="545" t="s">
        <v>2187</v>
      </c>
    </row>
    <row r="641" spans="1:19" x14ac:dyDescent="0.25">
      <c r="A641" s="530">
        <v>42809</v>
      </c>
      <c r="B641" s="335" t="s">
        <v>127</v>
      </c>
      <c r="C641" s="335" t="s">
        <v>1997</v>
      </c>
      <c r="D641" s="529">
        <v>376268723990</v>
      </c>
      <c r="E641" s="342">
        <v>350843</v>
      </c>
      <c r="F641" s="336"/>
      <c r="G641" s="506">
        <f>35.03+56.38</f>
        <v>91.41</v>
      </c>
      <c r="H641" s="545">
        <v>2905398</v>
      </c>
      <c r="I641" s="336"/>
      <c r="J641" s="545" t="s">
        <v>2187</v>
      </c>
      <c r="K641" s="336"/>
      <c r="L641" s="336"/>
      <c r="M641" s="336"/>
      <c r="N641" s="336"/>
      <c r="O641" s="336"/>
      <c r="P641" s="336"/>
      <c r="Q641" s="336"/>
      <c r="R641" s="336"/>
      <c r="S641" s="336"/>
    </row>
    <row r="642" spans="1:19" x14ac:dyDescent="0.25">
      <c r="A642" s="530">
        <v>42809</v>
      </c>
      <c r="B642" s="335" t="s">
        <v>127</v>
      </c>
      <c r="C642" s="335" t="s">
        <v>1997</v>
      </c>
      <c r="D642" s="529">
        <v>376268723990</v>
      </c>
      <c r="E642" s="342">
        <v>350843</v>
      </c>
      <c r="F642" s="336"/>
      <c r="G642" s="506">
        <f>22.64+102.85</f>
        <v>125.49</v>
      </c>
      <c r="H642" s="545">
        <v>2904743</v>
      </c>
      <c r="I642" s="336"/>
      <c r="J642" s="545" t="s">
        <v>2187</v>
      </c>
      <c r="K642" s="336"/>
      <c r="L642" s="336"/>
      <c r="M642" s="336"/>
      <c r="N642" s="336"/>
      <c r="O642" s="336"/>
      <c r="P642" s="336"/>
      <c r="Q642" s="336"/>
      <c r="R642" s="336"/>
      <c r="S642" s="336"/>
    </row>
    <row r="643" spans="1:19" s="336" customFormat="1" x14ac:dyDescent="0.25">
      <c r="A643" s="530">
        <v>42809</v>
      </c>
      <c r="B643" s="335" t="s">
        <v>127</v>
      </c>
      <c r="C643" s="335" t="s">
        <v>1997</v>
      </c>
      <c r="D643" s="529">
        <v>376268723990</v>
      </c>
      <c r="E643" s="342">
        <v>350843</v>
      </c>
      <c r="G643" s="506">
        <f>43.31+83.19</f>
        <v>126.5</v>
      </c>
      <c r="H643" s="545">
        <v>2902286</v>
      </c>
      <c r="J643" s="545" t="s">
        <v>2187</v>
      </c>
    </row>
    <row r="644" spans="1:19" x14ac:dyDescent="0.25">
      <c r="A644" s="530">
        <v>42809</v>
      </c>
      <c r="B644" s="335" t="s">
        <v>127</v>
      </c>
      <c r="C644" s="335" t="s">
        <v>1997</v>
      </c>
      <c r="D644" s="529">
        <v>376268723990</v>
      </c>
      <c r="E644" s="342">
        <v>350843</v>
      </c>
      <c r="F644" s="336"/>
      <c r="G644" s="506">
        <f>9.11+56.78</f>
        <v>65.89</v>
      </c>
      <c r="H644" s="545">
        <v>2908033</v>
      </c>
      <c r="I644" s="336"/>
      <c r="J644" s="545" t="s">
        <v>2187</v>
      </c>
      <c r="K644" s="336"/>
      <c r="L644" s="336"/>
      <c r="M644" s="336"/>
      <c r="N644" s="336"/>
      <c r="O644" s="336"/>
      <c r="P644" s="336"/>
      <c r="Q644" s="336"/>
      <c r="R644" s="336"/>
      <c r="S644" s="336"/>
    </row>
    <row r="645" spans="1:19" x14ac:dyDescent="0.25">
      <c r="A645" s="530">
        <v>42810</v>
      </c>
      <c r="B645" s="335" t="s">
        <v>127</v>
      </c>
      <c r="C645" s="335" t="s">
        <v>1997</v>
      </c>
      <c r="D645" s="529">
        <v>376268723990</v>
      </c>
      <c r="E645" s="342">
        <v>350843</v>
      </c>
      <c r="F645" s="336"/>
      <c r="G645" s="506">
        <f>39.82+100.81</f>
        <v>140.63</v>
      </c>
      <c r="H645" s="545">
        <v>2887082</v>
      </c>
      <c r="I645" s="336"/>
      <c r="J645" s="545" t="s">
        <v>2187</v>
      </c>
      <c r="K645" s="336"/>
      <c r="L645" s="336"/>
      <c r="M645" s="336"/>
      <c r="N645" s="336"/>
      <c r="O645" s="336"/>
      <c r="P645" s="336"/>
      <c r="Q645" s="336"/>
      <c r="R645" s="336"/>
      <c r="S645" s="336"/>
    </row>
    <row r="646" spans="1:19" x14ac:dyDescent="0.25">
      <c r="A646" s="530">
        <v>42810</v>
      </c>
      <c r="B646" s="335" t="s">
        <v>127</v>
      </c>
      <c r="C646" s="335" t="s">
        <v>1997</v>
      </c>
      <c r="D646" s="529">
        <v>376268723990</v>
      </c>
      <c r="E646" s="342">
        <v>350843</v>
      </c>
      <c r="F646" s="336"/>
      <c r="G646" s="506">
        <f>15.36+81.18</f>
        <v>96.54</v>
      </c>
      <c r="H646" s="545">
        <v>2904652</v>
      </c>
      <c r="I646" s="336"/>
      <c r="J646" s="545" t="s">
        <v>2187</v>
      </c>
      <c r="K646" s="336"/>
      <c r="L646" s="336"/>
      <c r="M646" s="336"/>
      <c r="N646" s="336"/>
      <c r="O646" s="336"/>
      <c r="P646" s="336"/>
      <c r="Q646" s="336"/>
      <c r="R646" s="336"/>
      <c r="S646" s="336"/>
    </row>
    <row r="647" spans="1:19" x14ac:dyDescent="0.25">
      <c r="A647" s="530">
        <v>42810</v>
      </c>
      <c r="B647" s="335" t="s">
        <v>127</v>
      </c>
      <c r="C647" s="335" t="s">
        <v>1997</v>
      </c>
      <c r="D647" s="529">
        <v>376268723990</v>
      </c>
      <c r="E647" s="342">
        <v>350843</v>
      </c>
      <c r="F647" s="336"/>
      <c r="G647" s="506">
        <f>18.51+42.3</f>
        <v>60.81</v>
      </c>
      <c r="H647" s="545">
        <v>2907654</v>
      </c>
      <c r="I647" s="336"/>
      <c r="J647" s="545" t="s">
        <v>2187</v>
      </c>
      <c r="K647" s="336"/>
      <c r="L647" s="336"/>
      <c r="M647" s="336"/>
      <c r="N647" s="336"/>
      <c r="O647" s="336"/>
      <c r="P647" s="336"/>
      <c r="Q647" s="336"/>
      <c r="R647" s="336"/>
      <c r="S647" s="336"/>
    </row>
    <row r="648" spans="1:19" x14ac:dyDescent="0.25">
      <c r="A648" s="530">
        <v>42811</v>
      </c>
      <c r="B648" s="335" t="s">
        <v>127</v>
      </c>
      <c r="C648" s="335" t="s">
        <v>1997</v>
      </c>
      <c r="D648" s="529">
        <v>376268723990</v>
      </c>
      <c r="E648" s="342">
        <v>350843</v>
      </c>
      <c r="F648" s="336"/>
      <c r="G648" s="506">
        <f>13.33+46.29</f>
        <v>59.62</v>
      </c>
      <c r="H648" s="545">
        <v>2910347</v>
      </c>
      <c r="I648" s="336"/>
      <c r="J648" s="545" t="s">
        <v>2187</v>
      </c>
      <c r="K648" s="336"/>
      <c r="L648" s="336"/>
      <c r="M648" s="336"/>
      <c r="N648" s="336"/>
      <c r="O648" s="336"/>
      <c r="P648" s="336"/>
      <c r="Q648" s="336"/>
      <c r="R648" s="336"/>
      <c r="S648" s="336"/>
    </row>
    <row r="649" spans="1:19" x14ac:dyDescent="0.25">
      <c r="A649" s="530">
        <v>42811</v>
      </c>
      <c r="B649" s="335" t="s">
        <v>127</v>
      </c>
      <c r="C649" s="335" t="s">
        <v>1997</v>
      </c>
      <c r="D649" s="529">
        <v>376268723990</v>
      </c>
      <c r="E649" s="342">
        <v>350843</v>
      </c>
      <c r="F649" s="336"/>
      <c r="G649" s="506">
        <f>17.33+36.9</f>
        <v>54.23</v>
      </c>
      <c r="H649" s="545">
        <v>2911355</v>
      </c>
      <c r="I649" s="336"/>
      <c r="J649" s="545" t="s">
        <v>2187</v>
      </c>
      <c r="K649" s="336"/>
      <c r="L649" s="336"/>
      <c r="M649" s="336"/>
      <c r="N649" s="336"/>
      <c r="O649" s="336"/>
      <c r="P649" s="336"/>
      <c r="Q649" s="336"/>
      <c r="R649" s="336"/>
      <c r="S649" s="336"/>
    </row>
    <row r="650" spans="1:19" s="335" customFormat="1" x14ac:dyDescent="0.25">
      <c r="A650" s="530">
        <v>42811</v>
      </c>
      <c r="B650" s="335" t="s">
        <v>127</v>
      </c>
      <c r="C650" s="335" t="s">
        <v>1997</v>
      </c>
      <c r="D650" s="529">
        <v>376268723990</v>
      </c>
      <c r="E650" s="342">
        <v>350843</v>
      </c>
      <c r="F650" s="336"/>
      <c r="G650" s="506">
        <f>14.75+120.39</f>
        <v>135.13999999999999</v>
      </c>
      <c r="H650" s="545">
        <v>2896234</v>
      </c>
      <c r="I650" s="336"/>
      <c r="J650" s="545" t="s">
        <v>2187</v>
      </c>
      <c r="K650" s="336"/>
      <c r="L650" s="336"/>
      <c r="M650" s="336"/>
      <c r="N650" s="336"/>
      <c r="O650" s="336"/>
      <c r="P650" s="336"/>
      <c r="Q650" s="336"/>
      <c r="R650" s="336"/>
      <c r="S650" s="336"/>
    </row>
    <row r="651" spans="1:19" s="336" customFormat="1" x14ac:dyDescent="0.25">
      <c r="A651" s="530">
        <v>42807</v>
      </c>
      <c r="B651" s="335" t="s">
        <v>127</v>
      </c>
      <c r="C651" s="335" t="s">
        <v>1997</v>
      </c>
      <c r="D651" s="529">
        <v>376271092995</v>
      </c>
      <c r="E651" s="342">
        <v>351307</v>
      </c>
      <c r="G651" s="514">
        <f>89.67+179.23</f>
        <v>268.89999999999998</v>
      </c>
      <c r="H651" s="545">
        <v>2896420</v>
      </c>
      <c r="J651" s="424" t="s">
        <v>2188</v>
      </c>
    </row>
    <row r="652" spans="1:19" s="336" customFormat="1" x14ac:dyDescent="0.25">
      <c r="A652" s="530">
        <v>42809</v>
      </c>
      <c r="B652" s="335" t="s">
        <v>127</v>
      </c>
      <c r="C652" s="335" t="s">
        <v>1997</v>
      </c>
      <c r="D652" s="529">
        <v>376271092995</v>
      </c>
      <c r="E652" s="342">
        <v>351307</v>
      </c>
      <c r="G652" s="514">
        <f>16.01+91.94</f>
        <v>107.95</v>
      </c>
      <c r="H652" s="545">
        <v>2901385</v>
      </c>
      <c r="J652" s="424" t="s">
        <v>2188</v>
      </c>
    </row>
    <row r="653" spans="1:19" x14ac:dyDescent="0.25">
      <c r="A653" s="530">
        <v>42808</v>
      </c>
      <c r="B653" s="335" t="s">
        <v>127</v>
      </c>
      <c r="C653" s="335" t="s">
        <v>1997</v>
      </c>
      <c r="D653" s="529">
        <v>376271092995</v>
      </c>
      <c r="E653" s="342">
        <v>351307</v>
      </c>
      <c r="F653" s="336"/>
      <c r="G653" s="514">
        <f>4.33+47.62</f>
        <v>51.949999999999996</v>
      </c>
      <c r="H653" s="545">
        <v>2894892</v>
      </c>
      <c r="I653" s="336"/>
      <c r="J653" s="424" t="s">
        <v>2188</v>
      </c>
      <c r="K653" s="336"/>
      <c r="L653" s="336"/>
      <c r="M653" s="336"/>
      <c r="N653" s="336"/>
      <c r="O653" s="336"/>
      <c r="P653" s="336"/>
      <c r="Q653" s="336"/>
      <c r="R653" s="336"/>
      <c r="S653" s="336"/>
    </row>
    <row r="654" spans="1:19" x14ac:dyDescent="0.25">
      <c r="A654" s="535">
        <v>42809</v>
      </c>
      <c r="B654" s="322" t="s">
        <v>127</v>
      </c>
      <c r="C654" s="562"/>
      <c r="D654" s="392">
        <v>376214535993</v>
      </c>
      <c r="E654" s="550">
        <v>214122</v>
      </c>
      <c r="F654" s="562"/>
      <c r="G654" s="515">
        <f>10+42.25</f>
        <v>52.25</v>
      </c>
      <c r="H654" s="532">
        <v>2903566</v>
      </c>
      <c r="I654" s="562"/>
      <c r="J654" s="532" t="s">
        <v>2189</v>
      </c>
      <c r="K654" s="562"/>
      <c r="L654" s="562"/>
      <c r="M654" s="562"/>
      <c r="N654" s="562"/>
      <c r="O654" s="562"/>
      <c r="P654" s="562"/>
      <c r="Q654" s="562"/>
      <c r="R654" s="562"/>
      <c r="S654" s="562"/>
    </row>
    <row r="655" spans="1:19" x14ac:dyDescent="0.25">
      <c r="A655" s="530">
        <v>42808</v>
      </c>
      <c r="B655" s="335" t="s">
        <v>127</v>
      </c>
      <c r="C655" s="335" t="s">
        <v>1997</v>
      </c>
      <c r="D655" s="529">
        <v>376266494990</v>
      </c>
      <c r="E655" s="342">
        <v>350484</v>
      </c>
      <c r="F655" s="336"/>
      <c r="G655" s="514">
        <f>24.71+65.97</f>
        <v>90.68</v>
      </c>
      <c r="H655" s="545">
        <v>2892832</v>
      </c>
      <c r="I655" s="336"/>
      <c r="J655" s="424" t="s">
        <v>2190</v>
      </c>
      <c r="K655" s="336"/>
      <c r="L655" s="336"/>
      <c r="M655" s="336"/>
      <c r="N655" s="336"/>
      <c r="O655" s="336"/>
      <c r="P655" s="336"/>
      <c r="Q655" s="336"/>
      <c r="R655" s="336"/>
      <c r="S655" s="336"/>
    </row>
    <row r="656" spans="1:19" s="336" customFormat="1" x14ac:dyDescent="0.25">
      <c r="A656" s="530">
        <v>42809</v>
      </c>
      <c r="B656" s="335" t="s">
        <v>127</v>
      </c>
      <c r="C656" s="335" t="s">
        <v>1997</v>
      </c>
      <c r="D656" s="529">
        <v>376266494990</v>
      </c>
      <c r="E656" s="342">
        <v>350484</v>
      </c>
      <c r="G656" s="514">
        <f>10.46+30.58</f>
        <v>41.04</v>
      </c>
      <c r="H656" s="545">
        <v>2904679</v>
      </c>
      <c r="J656" s="424" t="s">
        <v>2190</v>
      </c>
    </row>
    <row r="657" spans="1:19" s="336" customFormat="1" x14ac:dyDescent="0.25">
      <c r="A657" s="530">
        <v>42810</v>
      </c>
      <c r="B657" s="335" t="s">
        <v>127</v>
      </c>
      <c r="C657" s="335" t="s">
        <v>1997</v>
      </c>
      <c r="D657" s="529">
        <v>376266494990</v>
      </c>
      <c r="E657" s="342">
        <v>350484</v>
      </c>
      <c r="G657" s="514">
        <f>50.66+152.85</f>
        <v>203.51</v>
      </c>
      <c r="H657" s="545">
        <v>2906852</v>
      </c>
      <c r="J657" s="424" t="s">
        <v>2190</v>
      </c>
    </row>
    <row r="658" spans="1:19" x14ac:dyDescent="0.25">
      <c r="A658" s="530">
        <v>42811</v>
      </c>
      <c r="B658" s="335" t="s">
        <v>127</v>
      </c>
      <c r="C658" s="335" t="s">
        <v>1997</v>
      </c>
      <c r="D658" s="529">
        <v>376266494990</v>
      </c>
      <c r="E658" s="342">
        <v>350484</v>
      </c>
      <c r="F658" s="336"/>
      <c r="G658" s="514">
        <f>24.94+33.03</f>
        <v>57.97</v>
      </c>
      <c r="H658" s="545">
        <v>2912767</v>
      </c>
      <c r="I658" s="336"/>
      <c r="J658" s="424" t="s">
        <v>2190</v>
      </c>
      <c r="K658" s="336"/>
      <c r="L658" s="336"/>
      <c r="M658" s="336"/>
      <c r="N658" s="336"/>
      <c r="O658" s="336"/>
      <c r="P658" s="336"/>
      <c r="Q658" s="336"/>
      <c r="R658" s="336"/>
      <c r="S658" s="336"/>
    </row>
    <row r="659" spans="1:19" x14ac:dyDescent="0.25">
      <c r="A659" s="530">
        <v>42811</v>
      </c>
      <c r="B659" s="335" t="s">
        <v>127</v>
      </c>
      <c r="C659" s="335" t="s">
        <v>1997</v>
      </c>
      <c r="D659" s="529">
        <v>376266494990</v>
      </c>
      <c r="E659" s="342">
        <v>350484</v>
      </c>
      <c r="F659" s="336"/>
      <c r="G659" s="514">
        <f>7.84+35.36</f>
        <v>43.2</v>
      </c>
      <c r="H659" s="545">
        <v>2911732</v>
      </c>
      <c r="I659" s="336"/>
      <c r="J659" s="424" t="s">
        <v>2190</v>
      </c>
      <c r="K659" s="336"/>
      <c r="L659" s="336"/>
      <c r="M659" s="336"/>
      <c r="N659" s="336"/>
      <c r="O659" s="336"/>
      <c r="P659" s="336"/>
      <c r="Q659" s="336"/>
      <c r="R659" s="336"/>
      <c r="S659" s="336"/>
    </row>
    <row r="660" spans="1:19" s="336" customFormat="1" x14ac:dyDescent="0.25">
      <c r="A660" s="530">
        <v>42811</v>
      </c>
      <c r="B660" s="335" t="s">
        <v>127</v>
      </c>
      <c r="C660" s="335" t="s">
        <v>1997</v>
      </c>
      <c r="D660" s="529">
        <v>376268786997</v>
      </c>
      <c r="E660" s="342">
        <v>350875</v>
      </c>
      <c r="G660" s="514">
        <f>9.96+41.94</f>
        <v>51.9</v>
      </c>
      <c r="H660" s="545">
        <v>2908499</v>
      </c>
      <c r="J660" s="521" t="s">
        <v>2191</v>
      </c>
    </row>
    <row r="661" spans="1:19" s="336" customFormat="1" x14ac:dyDescent="0.25">
      <c r="A661" s="535">
        <v>42814</v>
      </c>
      <c r="B661" s="322" t="s">
        <v>127</v>
      </c>
      <c r="C661" s="562"/>
      <c r="D661" s="392">
        <v>376270713997</v>
      </c>
      <c r="E661" s="532">
        <v>351215</v>
      </c>
      <c r="F661" s="562"/>
      <c r="G661" s="399">
        <v>220</v>
      </c>
      <c r="H661" s="532">
        <v>2915061</v>
      </c>
      <c r="I661" s="562"/>
      <c r="J661" s="456" t="s">
        <v>182</v>
      </c>
      <c r="K661" s="531"/>
      <c r="L661" s="531"/>
      <c r="M661" s="562"/>
      <c r="N661" s="562"/>
      <c r="O661" s="562"/>
      <c r="P661" s="562"/>
      <c r="Q661" s="562"/>
      <c r="R661" s="562"/>
      <c r="S661" s="562"/>
    </row>
    <row r="662" spans="1:19" s="336" customFormat="1" x14ac:dyDescent="0.25">
      <c r="A662" s="535">
        <v>42814</v>
      </c>
      <c r="B662" s="322" t="s">
        <v>127</v>
      </c>
      <c r="C662" s="562"/>
      <c r="D662" s="392">
        <v>376270713997</v>
      </c>
      <c r="E662" s="532">
        <v>351215</v>
      </c>
      <c r="F662" s="562"/>
      <c r="G662" s="399">
        <v>75.98</v>
      </c>
      <c r="H662" s="532">
        <v>2912078</v>
      </c>
      <c r="I662" s="562"/>
      <c r="J662" s="456" t="s">
        <v>182</v>
      </c>
      <c r="K662" s="562"/>
      <c r="L662" s="562"/>
      <c r="M662" s="562"/>
      <c r="N662" s="562"/>
      <c r="O662" s="562"/>
      <c r="P662" s="562"/>
      <c r="Q662" s="562"/>
      <c r="R662" s="562"/>
      <c r="S662" s="562"/>
    </row>
    <row r="663" spans="1:19" s="336" customFormat="1" x14ac:dyDescent="0.25">
      <c r="A663" s="535">
        <v>42814</v>
      </c>
      <c r="B663" s="322" t="s">
        <v>127</v>
      </c>
      <c r="C663" s="562"/>
      <c r="D663" s="392">
        <v>376270713997</v>
      </c>
      <c r="E663" s="532">
        <v>351215</v>
      </c>
      <c r="F663" s="562"/>
      <c r="G663" s="399">
        <v>63</v>
      </c>
      <c r="H663" s="532">
        <v>2920747</v>
      </c>
      <c r="I663" s="562"/>
      <c r="J663" s="456" t="s">
        <v>182</v>
      </c>
      <c r="K663" s="562"/>
      <c r="L663" s="562"/>
      <c r="M663" s="562"/>
      <c r="N663" s="562"/>
      <c r="O663" s="562"/>
      <c r="P663" s="562"/>
      <c r="Q663" s="562"/>
      <c r="R663" s="562"/>
      <c r="S663" s="562"/>
    </row>
    <row r="664" spans="1:19" s="336" customFormat="1" x14ac:dyDescent="0.25">
      <c r="A664" s="535">
        <v>42814</v>
      </c>
      <c r="B664" s="322" t="s">
        <v>127</v>
      </c>
      <c r="C664" s="562"/>
      <c r="D664" s="392">
        <v>376270713997</v>
      </c>
      <c r="E664" s="532">
        <v>351215</v>
      </c>
      <c r="F664" s="562"/>
      <c r="G664" s="399">
        <v>64</v>
      </c>
      <c r="H664" s="532">
        <v>2936713</v>
      </c>
      <c r="I664" s="562"/>
      <c r="J664" s="456" t="s">
        <v>182</v>
      </c>
      <c r="K664" s="562"/>
      <c r="L664" s="562"/>
      <c r="M664" s="562"/>
      <c r="N664" s="562"/>
      <c r="O664" s="562"/>
      <c r="P664" s="562"/>
      <c r="Q664" s="562"/>
      <c r="R664" s="562"/>
      <c r="S664" s="562"/>
    </row>
    <row r="665" spans="1:19" s="336" customFormat="1" x14ac:dyDescent="0.25">
      <c r="A665" s="535">
        <v>42816</v>
      </c>
      <c r="B665" s="322" t="s">
        <v>127</v>
      </c>
      <c r="C665" s="562"/>
      <c r="D665" s="392">
        <v>376274163991</v>
      </c>
      <c r="E665" s="550">
        <v>352706</v>
      </c>
      <c r="F665" s="562"/>
      <c r="G665" s="515">
        <f>22.82+73.72</f>
        <v>96.539999999999992</v>
      </c>
      <c r="H665" s="532">
        <v>2924709</v>
      </c>
      <c r="I665" s="562"/>
      <c r="J665" s="531" t="s">
        <v>2221</v>
      </c>
      <c r="K665" s="562"/>
      <c r="L665" s="562"/>
      <c r="M665" s="562"/>
      <c r="N665" s="562"/>
      <c r="O665" s="562"/>
      <c r="P665" s="562"/>
      <c r="Q665" s="562"/>
      <c r="R665" s="562"/>
      <c r="S665" s="562"/>
    </row>
    <row r="666" spans="1:19" s="336" customFormat="1" x14ac:dyDescent="0.25">
      <c r="A666" s="530">
        <v>42814</v>
      </c>
      <c r="B666" s="335" t="s">
        <v>127</v>
      </c>
      <c r="C666" s="335" t="s">
        <v>1997</v>
      </c>
      <c r="D666" s="529">
        <v>376271092995</v>
      </c>
      <c r="E666" s="342">
        <v>351307</v>
      </c>
      <c r="G666" s="514">
        <f>1.62+27.33</f>
        <v>28.95</v>
      </c>
      <c r="H666" s="545">
        <v>2911681</v>
      </c>
      <c r="J666" s="418" t="s">
        <v>2222</v>
      </c>
      <c r="K666" s="418"/>
      <c r="L666" s="418"/>
      <c r="M666" s="418"/>
      <c r="N666" s="418"/>
    </row>
    <row r="667" spans="1:19" s="336" customFormat="1" x14ac:dyDescent="0.25">
      <c r="A667" s="530">
        <v>42814</v>
      </c>
      <c r="B667" s="335" t="s">
        <v>127</v>
      </c>
      <c r="C667" s="335" t="s">
        <v>1997</v>
      </c>
      <c r="D667" s="529">
        <v>376271092995</v>
      </c>
      <c r="E667" s="342">
        <v>351307</v>
      </c>
      <c r="G667" s="514">
        <f>1.62+27.33</f>
        <v>28.95</v>
      </c>
      <c r="H667" s="545">
        <v>2911681</v>
      </c>
      <c r="J667" s="418" t="s">
        <v>2222</v>
      </c>
      <c r="K667" s="418"/>
      <c r="L667" s="418"/>
      <c r="M667" s="418"/>
      <c r="N667" s="418"/>
    </row>
    <row r="668" spans="1:19" s="411" customFormat="1" x14ac:dyDescent="0.25">
      <c r="A668" s="530">
        <v>42814</v>
      </c>
      <c r="B668" s="335" t="s">
        <v>127</v>
      </c>
      <c r="C668" s="335" t="s">
        <v>1997</v>
      </c>
      <c r="D668" s="529">
        <v>376271092995</v>
      </c>
      <c r="E668" s="342">
        <v>351307</v>
      </c>
      <c r="F668" s="336"/>
      <c r="G668" s="514">
        <f>1.62+27.33</f>
        <v>28.95</v>
      </c>
      <c r="H668" s="545">
        <v>2911681</v>
      </c>
      <c r="I668" s="336"/>
      <c r="J668" s="418" t="s">
        <v>2222</v>
      </c>
      <c r="K668" s="418"/>
      <c r="L668" s="418"/>
      <c r="M668" s="418"/>
      <c r="N668" s="418"/>
      <c r="O668" s="336"/>
      <c r="P668" s="336"/>
      <c r="Q668" s="336"/>
      <c r="R668" s="336"/>
      <c r="S668" s="336"/>
    </row>
    <row r="669" spans="1:19" s="409" customFormat="1" x14ac:dyDescent="0.25">
      <c r="A669" s="530">
        <v>42814</v>
      </c>
      <c r="B669" s="335" t="s">
        <v>127</v>
      </c>
      <c r="C669" s="335" t="s">
        <v>1997</v>
      </c>
      <c r="D669" s="529">
        <v>376271092995</v>
      </c>
      <c r="E669" s="342">
        <v>351307</v>
      </c>
      <c r="F669" s="336"/>
      <c r="G669" s="514">
        <f>1.62+27.33</f>
        <v>28.95</v>
      </c>
      <c r="H669" s="545">
        <v>2911681</v>
      </c>
      <c r="I669" s="336"/>
      <c r="J669" s="418" t="s">
        <v>2222</v>
      </c>
      <c r="K669" s="418"/>
      <c r="L669" s="418"/>
      <c r="M669" s="418"/>
      <c r="N669" s="418"/>
      <c r="O669" s="336"/>
      <c r="P669" s="336"/>
      <c r="Q669" s="336"/>
      <c r="R669" s="336"/>
      <c r="S669" s="336"/>
    </row>
    <row r="670" spans="1:19" x14ac:dyDescent="0.25">
      <c r="A670" s="530">
        <v>42816</v>
      </c>
      <c r="B670" s="335" t="s">
        <v>127</v>
      </c>
      <c r="C670" s="335" t="s">
        <v>1997</v>
      </c>
      <c r="D670" s="529">
        <v>376268786997</v>
      </c>
      <c r="E670" s="342">
        <v>350875</v>
      </c>
      <c r="F670" s="336"/>
      <c r="G670" s="514">
        <f>6.18+12.75</f>
        <v>18.93</v>
      </c>
      <c r="H670" s="545">
        <v>2923629</v>
      </c>
      <c r="I670" s="336"/>
      <c r="J670" s="521" t="s">
        <v>2223</v>
      </c>
      <c r="K670" s="336"/>
      <c r="L670" s="336"/>
      <c r="M670" s="336"/>
      <c r="N670" s="336"/>
      <c r="O670" s="336"/>
      <c r="P670" s="336"/>
      <c r="Q670" s="336"/>
      <c r="R670" s="336"/>
      <c r="S670" s="336"/>
    </row>
    <row r="671" spans="1:19" x14ac:dyDescent="0.25">
      <c r="A671" s="535">
        <v>42822</v>
      </c>
      <c r="B671" s="322" t="s">
        <v>127</v>
      </c>
      <c r="C671" s="562"/>
      <c r="D671" s="392">
        <v>376270713997</v>
      </c>
      <c r="E671" s="550">
        <v>351215</v>
      </c>
      <c r="F671" s="562"/>
      <c r="G671" s="515">
        <f>24.29+36.38</f>
        <v>60.67</v>
      </c>
      <c r="H671" s="532">
        <v>2946812</v>
      </c>
      <c r="I671" s="562"/>
      <c r="J671" s="531" t="s">
        <v>2238</v>
      </c>
      <c r="K671" s="531"/>
      <c r="L671" s="531"/>
      <c r="M671" s="531"/>
      <c r="N671" s="531"/>
      <c r="O671" s="562"/>
      <c r="P671" s="562"/>
      <c r="Q671" s="562"/>
      <c r="R671" s="562"/>
      <c r="S671" s="562"/>
    </row>
    <row r="672" spans="1:19" x14ac:dyDescent="0.25">
      <c r="A672" s="535">
        <v>42821</v>
      </c>
      <c r="B672" s="322" t="s">
        <v>127</v>
      </c>
      <c r="C672" s="562"/>
      <c r="D672" s="392">
        <v>376270713997</v>
      </c>
      <c r="E672" s="550">
        <v>351215</v>
      </c>
      <c r="F672" s="562"/>
      <c r="G672" s="515">
        <v>111</v>
      </c>
      <c r="H672" s="532">
        <v>2936614</v>
      </c>
      <c r="I672" s="562"/>
      <c r="J672" s="531" t="s">
        <v>182</v>
      </c>
      <c r="K672" s="531"/>
      <c r="L672" s="562"/>
      <c r="M672" s="562"/>
      <c r="N672" s="562"/>
      <c r="O672" s="562"/>
      <c r="P672" s="562"/>
      <c r="Q672" s="562"/>
      <c r="R672" s="562"/>
      <c r="S672" s="562"/>
    </row>
    <row r="673" spans="1:19" x14ac:dyDescent="0.25">
      <c r="A673" s="535">
        <v>42821</v>
      </c>
      <c r="B673" s="322" t="s">
        <v>127</v>
      </c>
      <c r="C673" s="562"/>
      <c r="D673" s="392">
        <v>376270713997</v>
      </c>
      <c r="E673" s="550">
        <v>351215</v>
      </c>
      <c r="F673" s="562"/>
      <c r="G673" s="515">
        <v>88</v>
      </c>
      <c r="H673" s="532">
        <v>2938107</v>
      </c>
      <c r="I673" s="562"/>
      <c r="J673" s="531" t="s">
        <v>182</v>
      </c>
      <c r="K673" s="562"/>
      <c r="L673" s="562"/>
      <c r="M673" s="562"/>
      <c r="N673" s="562"/>
      <c r="O673" s="562"/>
      <c r="P673" s="562"/>
      <c r="Q673" s="562"/>
      <c r="R673" s="562"/>
      <c r="S673" s="562"/>
    </row>
    <row r="674" spans="1:19" x14ac:dyDescent="0.25">
      <c r="A674" s="535">
        <v>42821</v>
      </c>
      <c r="B674" s="322" t="s">
        <v>127</v>
      </c>
      <c r="C674" s="562"/>
      <c r="D674" s="392">
        <v>376270713997</v>
      </c>
      <c r="E674" s="550">
        <v>351215</v>
      </c>
      <c r="F674" s="562"/>
      <c r="G674" s="515">
        <v>36.58</v>
      </c>
      <c r="H674" s="532">
        <v>2935989</v>
      </c>
      <c r="I674" s="562"/>
      <c r="J674" s="531" t="s">
        <v>182</v>
      </c>
      <c r="K674" s="562"/>
      <c r="L674" s="562"/>
      <c r="M674" s="562"/>
      <c r="N674" s="562"/>
      <c r="O674" s="562"/>
      <c r="P674" s="562"/>
      <c r="Q674" s="562"/>
      <c r="R674" s="562"/>
      <c r="S674" s="562"/>
    </row>
    <row r="675" spans="1:19" x14ac:dyDescent="0.25">
      <c r="A675" s="535">
        <v>42822</v>
      </c>
      <c r="B675" s="322" t="s">
        <v>127</v>
      </c>
      <c r="C675" s="562"/>
      <c r="D675" s="392">
        <v>376270713997</v>
      </c>
      <c r="E675" s="550">
        <v>351215</v>
      </c>
      <c r="F675" s="562"/>
      <c r="G675" s="515">
        <v>132.68</v>
      </c>
      <c r="H675" s="532">
        <v>2941856</v>
      </c>
      <c r="I675" s="562"/>
      <c r="J675" s="531" t="s">
        <v>182</v>
      </c>
      <c r="K675" s="562"/>
      <c r="L675" s="562"/>
      <c r="M675" s="562"/>
      <c r="N675" s="562"/>
      <c r="O675" s="562"/>
      <c r="P675" s="562"/>
      <c r="Q675" s="562"/>
      <c r="R675" s="562"/>
      <c r="S675" s="562"/>
    </row>
    <row r="676" spans="1:19" x14ac:dyDescent="0.25">
      <c r="A676" s="535">
        <v>42822</v>
      </c>
      <c r="B676" s="322" t="s">
        <v>127</v>
      </c>
      <c r="C676" s="562"/>
      <c r="D676" s="392">
        <v>376270713997</v>
      </c>
      <c r="E676" s="550">
        <v>351215</v>
      </c>
      <c r="F676" s="562"/>
      <c r="G676" s="515">
        <v>125.36</v>
      </c>
      <c r="H676" s="532">
        <v>2945210</v>
      </c>
      <c r="I676" s="562"/>
      <c r="J676" s="531" t="s">
        <v>182</v>
      </c>
      <c r="K676" s="562"/>
      <c r="L676" s="562"/>
      <c r="M676" s="562"/>
      <c r="N676" s="562"/>
      <c r="O676" s="562"/>
      <c r="P676" s="562"/>
      <c r="Q676" s="562"/>
      <c r="R676" s="562"/>
      <c r="S676" s="562"/>
    </row>
    <row r="677" spans="1:19" x14ac:dyDescent="0.25">
      <c r="A677" s="535">
        <v>42822</v>
      </c>
      <c r="B677" s="322" t="s">
        <v>127</v>
      </c>
      <c r="C677" s="562"/>
      <c r="D677" s="392">
        <v>376270713997</v>
      </c>
      <c r="E677" s="550">
        <v>351215</v>
      </c>
      <c r="F677" s="562"/>
      <c r="G677" s="515">
        <v>118</v>
      </c>
      <c r="H677" s="532">
        <v>2944103</v>
      </c>
      <c r="I677" s="562"/>
      <c r="J677" s="531" t="s">
        <v>182</v>
      </c>
      <c r="K677" s="562"/>
      <c r="L677" s="562"/>
      <c r="M677" s="562"/>
      <c r="N677" s="562"/>
      <c r="O677" s="562"/>
      <c r="P677" s="562"/>
      <c r="Q677" s="562"/>
      <c r="R677" s="562"/>
      <c r="S677" s="562"/>
    </row>
    <row r="678" spans="1:19" x14ac:dyDescent="0.25">
      <c r="A678" s="535">
        <v>42825</v>
      </c>
      <c r="B678" s="322" t="s">
        <v>127</v>
      </c>
      <c r="C678" s="562"/>
      <c r="D678" s="392">
        <v>376270713997</v>
      </c>
      <c r="E678" s="550">
        <v>351215</v>
      </c>
      <c r="F678" s="562"/>
      <c r="G678" s="515">
        <v>90</v>
      </c>
      <c r="H678" s="532">
        <v>2955063</v>
      </c>
      <c r="I678" s="562"/>
      <c r="J678" s="531" t="s">
        <v>182</v>
      </c>
      <c r="K678" s="562"/>
      <c r="L678" s="562"/>
      <c r="M678" s="562"/>
      <c r="N678" s="562"/>
      <c r="O678" s="562"/>
      <c r="P678" s="562"/>
      <c r="Q678" s="562"/>
      <c r="R678" s="562"/>
      <c r="S678" s="562"/>
    </row>
    <row r="679" spans="1:19" x14ac:dyDescent="0.25">
      <c r="A679" s="535">
        <v>42823</v>
      </c>
      <c r="B679" s="322" t="s">
        <v>127</v>
      </c>
      <c r="C679" s="562"/>
      <c r="D679" s="392">
        <v>37621453993</v>
      </c>
      <c r="E679" s="532">
        <v>214122</v>
      </c>
      <c r="F679" s="562"/>
      <c r="G679" s="515">
        <f>11.1+21.85</f>
        <v>32.950000000000003</v>
      </c>
      <c r="H679" s="532">
        <v>2952165</v>
      </c>
      <c r="I679" s="562"/>
      <c r="J679" s="531" t="s">
        <v>142</v>
      </c>
      <c r="K679" s="562"/>
      <c r="L679" s="562"/>
      <c r="M679" s="562"/>
      <c r="N679" s="562"/>
      <c r="O679" s="562"/>
      <c r="P679" s="562"/>
      <c r="Q679" s="562"/>
      <c r="R679" s="562"/>
      <c r="S679" s="562"/>
    </row>
    <row r="680" spans="1:19" x14ac:dyDescent="0.25">
      <c r="A680" s="555" t="s">
        <v>2245</v>
      </c>
      <c r="B680" s="323" t="s">
        <v>0</v>
      </c>
      <c r="C680" s="335" t="s">
        <v>238</v>
      </c>
      <c r="D680" s="421" t="s">
        <v>1777</v>
      </c>
      <c r="E680" s="553">
        <v>352537</v>
      </c>
      <c r="F680" s="553">
        <v>2986334</v>
      </c>
      <c r="G680" s="420">
        <v>19.95</v>
      </c>
      <c r="J680" s="553" t="s">
        <v>12</v>
      </c>
    </row>
    <row r="681" spans="1:19" x14ac:dyDescent="0.25">
      <c r="A681" s="555" t="s">
        <v>2245</v>
      </c>
      <c r="B681" s="323" t="s">
        <v>0</v>
      </c>
      <c r="C681" s="335" t="s">
        <v>238</v>
      </c>
      <c r="D681" s="421" t="s">
        <v>2247</v>
      </c>
      <c r="E681" s="553">
        <v>352935</v>
      </c>
      <c r="F681" s="553">
        <v>982479</v>
      </c>
      <c r="G681" s="420">
        <v>36.049999999999997</v>
      </c>
      <c r="J681" s="553" t="s">
        <v>12</v>
      </c>
    </row>
    <row r="682" spans="1:19" x14ac:dyDescent="0.25">
      <c r="A682" s="555" t="s">
        <v>2245</v>
      </c>
      <c r="B682" s="323" t="s">
        <v>0</v>
      </c>
      <c r="C682" s="335" t="s">
        <v>238</v>
      </c>
      <c r="D682" s="421" t="s">
        <v>2248</v>
      </c>
      <c r="E682" s="553">
        <v>217605</v>
      </c>
      <c r="F682" s="553">
        <v>974784</v>
      </c>
      <c r="G682" s="420">
        <v>28.85</v>
      </c>
      <c r="J682" s="553" t="s">
        <v>12</v>
      </c>
    </row>
    <row r="683" spans="1:19" x14ac:dyDescent="0.25">
      <c r="A683" s="555" t="s">
        <v>2245</v>
      </c>
      <c r="B683" s="323" t="s">
        <v>0</v>
      </c>
      <c r="C683" s="335" t="s">
        <v>238</v>
      </c>
      <c r="D683" s="421" t="s">
        <v>2250</v>
      </c>
      <c r="E683" s="553">
        <v>357</v>
      </c>
      <c r="F683" s="553">
        <v>965005</v>
      </c>
      <c r="G683" s="420">
        <v>33.950000000000003</v>
      </c>
      <c r="J683" s="553" t="s">
        <v>12</v>
      </c>
    </row>
    <row r="684" spans="1:19" x14ac:dyDescent="0.25">
      <c r="A684" s="555" t="s">
        <v>2245</v>
      </c>
      <c r="B684" s="323" t="s">
        <v>0</v>
      </c>
      <c r="C684" s="335" t="s">
        <v>238</v>
      </c>
      <c r="D684" s="421" t="s">
        <v>2251</v>
      </c>
      <c r="E684" s="553">
        <v>350473</v>
      </c>
      <c r="F684" s="553">
        <v>980749</v>
      </c>
      <c r="G684" s="420">
        <v>33.950000000000003</v>
      </c>
      <c r="J684" s="553" t="s">
        <v>12</v>
      </c>
    </row>
    <row r="685" spans="1:19" x14ac:dyDescent="0.25">
      <c r="A685" s="555" t="s">
        <v>2245</v>
      </c>
      <c r="B685" s="323" t="s">
        <v>0</v>
      </c>
      <c r="C685" s="335" t="s">
        <v>238</v>
      </c>
      <c r="D685" s="421" t="s">
        <v>2252</v>
      </c>
      <c r="E685" s="553">
        <v>215141</v>
      </c>
      <c r="F685" s="553">
        <v>960978</v>
      </c>
      <c r="G685" s="420">
        <v>35.15</v>
      </c>
      <c r="J685" s="553" t="s">
        <v>12</v>
      </c>
    </row>
    <row r="686" spans="1:19" x14ac:dyDescent="0.25">
      <c r="A686" s="547" t="s">
        <v>2245</v>
      </c>
      <c r="B686" s="335" t="s">
        <v>0</v>
      </c>
      <c r="C686" s="335" t="s">
        <v>238</v>
      </c>
      <c r="D686" s="423" t="s">
        <v>2253</v>
      </c>
      <c r="E686" s="545">
        <v>350402</v>
      </c>
      <c r="F686" s="545"/>
      <c r="G686" s="422">
        <v>34.94</v>
      </c>
      <c r="H686" s="336"/>
      <c r="I686" s="336"/>
      <c r="J686" s="545" t="s">
        <v>2254</v>
      </c>
      <c r="K686" s="336"/>
      <c r="L686" s="336"/>
      <c r="M686" s="336"/>
      <c r="N686" s="336"/>
      <c r="O686" s="336"/>
      <c r="P686" s="336"/>
      <c r="Q686" s="336"/>
      <c r="R686" s="336"/>
      <c r="S686" s="336"/>
    </row>
    <row r="687" spans="1:19" x14ac:dyDescent="0.25">
      <c r="A687" s="555" t="s">
        <v>2245</v>
      </c>
      <c r="B687" s="323" t="s">
        <v>0</v>
      </c>
      <c r="C687" s="335" t="s">
        <v>238</v>
      </c>
      <c r="D687" s="408">
        <v>376269205997</v>
      </c>
      <c r="E687" s="553">
        <v>350927</v>
      </c>
      <c r="F687" s="553">
        <v>981053</v>
      </c>
      <c r="G687" s="420">
        <v>35.25</v>
      </c>
      <c r="J687" s="553" t="s">
        <v>44</v>
      </c>
    </row>
    <row r="688" spans="1:19" x14ac:dyDescent="0.25">
      <c r="A688" s="555" t="s">
        <v>2245</v>
      </c>
      <c r="B688" s="323" t="s">
        <v>0</v>
      </c>
      <c r="C688" s="335" t="s">
        <v>238</v>
      </c>
      <c r="D688" s="421" t="s">
        <v>2255</v>
      </c>
      <c r="E688" s="553">
        <v>353332</v>
      </c>
      <c r="F688" s="553"/>
      <c r="G688" s="420">
        <v>36.61</v>
      </c>
      <c r="J688" s="553" t="s">
        <v>44</v>
      </c>
    </row>
    <row r="689" spans="1:19" x14ac:dyDescent="0.25">
      <c r="A689" s="555" t="s">
        <v>2245</v>
      </c>
      <c r="B689" s="323" t="s">
        <v>0</v>
      </c>
      <c r="C689" s="335" t="s">
        <v>238</v>
      </c>
      <c r="D689" s="561" t="s">
        <v>2257</v>
      </c>
      <c r="E689" s="553">
        <v>351099</v>
      </c>
      <c r="F689" s="553">
        <v>968886</v>
      </c>
      <c r="G689" s="420">
        <v>39.950000000000003</v>
      </c>
      <c r="J689" s="553" t="s">
        <v>44</v>
      </c>
    </row>
    <row r="690" spans="1:19" x14ac:dyDescent="0.25">
      <c r="A690" s="547" t="s">
        <v>2245</v>
      </c>
      <c r="B690" s="335" t="s">
        <v>0</v>
      </c>
      <c r="C690" s="335" t="s">
        <v>238</v>
      </c>
      <c r="D690" s="507" t="s">
        <v>2258</v>
      </c>
      <c r="E690" s="545">
        <v>218273</v>
      </c>
      <c r="F690" s="545"/>
      <c r="G690" s="422">
        <v>41.65</v>
      </c>
      <c r="H690" s="336"/>
      <c r="I690" s="336"/>
      <c r="J690" s="545" t="s">
        <v>2254</v>
      </c>
      <c r="K690" s="336"/>
      <c r="L690" s="336"/>
      <c r="M690" s="336"/>
      <c r="N690" s="336"/>
      <c r="O690" s="336"/>
      <c r="P690" s="336"/>
      <c r="Q690" s="336"/>
      <c r="R690" s="336"/>
      <c r="S690" s="336"/>
    </row>
    <row r="691" spans="1:19" s="336" customFormat="1" x14ac:dyDescent="0.25">
      <c r="A691" s="555" t="s">
        <v>2245</v>
      </c>
      <c r="B691" s="323" t="s">
        <v>0</v>
      </c>
      <c r="C691" s="335" t="s">
        <v>238</v>
      </c>
      <c r="D691" s="561" t="s">
        <v>2259</v>
      </c>
      <c r="E691" s="553">
        <v>350446</v>
      </c>
      <c r="F691" s="553">
        <v>9658056</v>
      </c>
      <c r="G691" s="420">
        <v>43.82</v>
      </c>
      <c r="H691" s="2"/>
      <c r="I691" s="2"/>
      <c r="J691" s="553" t="s">
        <v>44</v>
      </c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5">
      <c r="A692" s="555" t="s">
        <v>2245</v>
      </c>
      <c r="B692" s="323" t="s">
        <v>0</v>
      </c>
      <c r="C692" s="335" t="s">
        <v>238</v>
      </c>
      <c r="D692" s="561" t="s">
        <v>2260</v>
      </c>
      <c r="E692" s="553">
        <v>352424</v>
      </c>
      <c r="F692" s="553">
        <v>970782</v>
      </c>
      <c r="G692" s="420">
        <v>43.9</v>
      </c>
      <c r="J692" s="553" t="s">
        <v>44</v>
      </c>
    </row>
    <row r="693" spans="1:19" x14ac:dyDescent="0.25">
      <c r="A693" s="555" t="s">
        <v>2245</v>
      </c>
      <c r="B693" s="323" t="s">
        <v>0</v>
      </c>
      <c r="C693" s="335" t="s">
        <v>238</v>
      </c>
      <c r="D693" s="561" t="s">
        <v>2114</v>
      </c>
      <c r="E693" s="553">
        <v>215864</v>
      </c>
      <c r="F693" s="553">
        <v>954944</v>
      </c>
      <c r="G693" s="420">
        <v>44.75</v>
      </c>
      <c r="J693" s="553" t="s">
        <v>44</v>
      </c>
    </row>
    <row r="694" spans="1:19" x14ac:dyDescent="0.25">
      <c r="A694" s="555" t="s">
        <v>2245</v>
      </c>
      <c r="B694" s="323" t="s">
        <v>0</v>
      </c>
      <c r="C694" s="335" t="s">
        <v>238</v>
      </c>
      <c r="D694" s="561" t="s">
        <v>2112</v>
      </c>
      <c r="E694" s="553">
        <v>225640</v>
      </c>
      <c r="F694" s="553">
        <v>982466</v>
      </c>
      <c r="G694" s="420">
        <v>49.06</v>
      </c>
      <c r="J694" s="553" t="s">
        <v>44</v>
      </c>
    </row>
    <row r="695" spans="1:19" x14ac:dyDescent="0.25">
      <c r="A695" s="555" t="s">
        <v>2245</v>
      </c>
      <c r="B695" s="323" t="s">
        <v>0</v>
      </c>
      <c r="C695" s="335" t="s">
        <v>238</v>
      </c>
      <c r="D695" s="561" t="s">
        <v>2262</v>
      </c>
      <c r="E695" s="553">
        <v>2068</v>
      </c>
      <c r="F695" s="553">
        <v>979098</v>
      </c>
      <c r="G695" s="420">
        <v>54.9</v>
      </c>
      <c r="J695" s="553" t="s">
        <v>44</v>
      </c>
    </row>
    <row r="696" spans="1:19" s="336" customFormat="1" x14ac:dyDescent="0.25">
      <c r="A696" s="555" t="s">
        <v>2245</v>
      </c>
      <c r="B696" s="323" t="s">
        <v>0</v>
      </c>
      <c r="C696" s="335" t="s">
        <v>238</v>
      </c>
      <c r="D696" s="561" t="s">
        <v>1978</v>
      </c>
      <c r="E696" s="553">
        <v>350577</v>
      </c>
      <c r="F696" s="553">
        <v>978951</v>
      </c>
      <c r="G696" s="420">
        <v>55.59</v>
      </c>
      <c r="H696" s="2"/>
      <c r="I696" s="2"/>
      <c r="J696" s="553" t="s">
        <v>44</v>
      </c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5">
      <c r="A697" s="555" t="s">
        <v>2245</v>
      </c>
      <c r="B697" s="323" t="s">
        <v>0</v>
      </c>
      <c r="C697" s="335" t="s">
        <v>238</v>
      </c>
      <c r="D697" s="561" t="s">
        <v>2263</v>
      </c>
      <c r="E697" s="553">
        <v>350037</v>
      </c>
      <c r="F697" s="553">
        <v>982355</v>
      </c>
      <c r="G697" s="420">
        <v>57.04</v>
      </c>
      <c r="J697" s="553" t="s">
        <v>44</v>
      </c>
    </row>
    <row r="698" spans="1:19" x14ac:dyDescent="0.25">
      <c r="A698" s="555" t="s">
        <v>2245</v>
      </c>
      <c r="B698" s="323" t="s">
        <v>0</v>
      </c>
      <c r="C698" s="335" t="s">
        <v>238</v>
      </c>
      <c r="D698" s="561" t="s">
        <v>2264</v>
      </c>
      <c r="E698" s="553">
        <v>212288</v>
      </c>
      <c r="F698" s="553">
        <v>982386</v>
      </c>
      <c r="G698" s="420">
        <v>61.95</v>
      </c>
      <c r="J698" s="553" t="s">
        <v>44</v>
      </c>
    </row>
    <row r="699" spans="1:19" x14ac:dyDescent="0.25">
      <c r="A699" s="547" t="s">
        <v>2245</v>
      </c>
      <c r="B699" s="335" t="s">
        <v>0</v>
      </c>
      <c r="C699" s="335" t="s">
        <v>238</v>
      </c>
      <c r="D699" s="507" t="s">
        <v>2266</v>
      </c>
      <c r="E699" s="545">
        <v>352633</v>
      </c>
      <c r="F699" s="342"/>
      <c r="G699" s="422">
        <v>66.900000000000006</v>
      </c>
      <c r="H699" s="336"/>
      <c r="I699" s="336"/>
      <c r="J699" s="545" t="s">
        <v>2254</v>
      </c>
      <c r="K699" s="336"/>
      <c r="L699" s="336"/>
      <c r="M699" s="336"/>
      <c r="N699" s="336"/>
      <c r="O699" s="336"/>
      <c r="P699" s="336"/>
      <c r="Q699" s="336"/>
      <c r="R699" s="336"/>
      <c r="S699" s="336"/>
    </row>
    <row r="700" spans="1:19" x14ac:dyDescent="0.25">
      <c r="A700" s="555" t="s">
        <v>2245</v>
      </c>
      <c r="B700" s="323" t="s">
        <v>0</v>
      </c>
      <c r="C700" s="335" t="s">
        <v>238</v>
      </c>
      <c r="D700" s="561" t="s">
        <v>2268</v>
      </c>
      <c r="E700" s="553">
        <v>352119</v>
      </c>
      <c r="F700" s="314">
        <v>979587</v>
      </c>
      <c r="G700" s="420">
        <v>69.33</v>
      </c>
      <c r="J700" s="420" t="s">
        <v>124</v>
      </c>
    </row>
    <row r="701" spans="1:19" x14ac:dyDescent="0.25">
      <c r="A701" s="555" t="s">
        <v>2245</v>
      </c>
      <c r="B701" s="323" t="s">
        <v>0</v>
      </c>
      <c r="C701" s="335" t="s">
        <v>238</v>
      </c>
      <c r="D701" s="561" t="s">
        <v>2270</v>
      </c>
      <c r="E701" s="553">
        <v>352661</v>
      </c>
      <c r="F701" s="314">
        <v>979184</v>
      </c>
      <c r="G701" s="420">
        <v>72.95</v>
      </c>
      <c r="J701" s="420" t="s">
        <v>124</v>
      </c>
    </row>
    <row r="702" spans="1:19" x14ac:dyDescent="0.25">
      <c r="A702" s="555" t="s">
        <v>2245</v>
      </c>
      <c r="B702" s="323" t="s">
        <v>0</v>
      </c>
      <c r="C702" s="335" t="s">
        <v>238</v>
      </c>
      <c r="D702" s="561" t="s">
        <v>2272</v>
      </c>
      <c r="E702" s="553">
        <v>350423</v>
      </c>
      <c r="F702" s="314">
        <v>978527</v>
      </c>
      <c r="G702" s="420">
        <v>100.01</v>
      </c>
      <c r="J702" s="420" t="s">
        <v>124</v>
      </c>
    </row>
    <row r="703" spans="1:19" x14ac:dyDescent="0.25">
      <c r="A703" s="555" t="s">
        <v>2245</v>
      </c>
      <c r="B703" s="323" t="s">
        <v>0</v>
      </c>
      <c r="C703" s="335" t="s">
        <v>238</v>
      </c>
      <c r="D703" s="421" t="s">
        <v>2273</v>
      </c>
      <c r="E703" s="553">
        <v>226533</v>
      </c>
      <c r="F703" s="314">
        <v>979492</v>
      </c>
      <c r="G703" s="420">
        <v>102.95</v>
      </c>
      <c r="J703" s="420" t="s">
        <v>124</v>
      </c>
    </row>
    <row r="704" spans="1:19" x14ac:dyDescent="0.25">
      <c r="A704" s="555" t="s">
        <v>2245</v>
      </c>
      <c r="B704" s="323" t="s">
        <v>0</v>
      </c>
      <c r="C704" s="335" t="s">
        <v>238</v>
      </c>
      <c r="D704" s="421" t="s">
        <v>2274</v>
      </c>
      <c r="E704" s="553">
        <v>215310</v>
      </c>
      <c r="F704" s="314">
        <v>979631</v>
      </c>
      <c r="G704" s="420">
        <v>69.260000000000005</v>
      </c>
      <c r="J704" s="420" t="s">
        <v>124</v>
      </c>
    </row>
    <row r="705" spans="1:19" x14ac:dyDescent="0.25">
      <c r="A705" s="555" t="s">
        <v>2245</v>
      </c>
      <c r="B705" s="323" t="s">
        <v>0</v>
      </c>
      <c r="C705" s="335" t="s">
        <v>238</v>
      </c>
      <c r="D705" s="421" t="s">
        <v>2274</v>
      </c>
      <c r="E705" s="553">
        <v>215310</v>
      </c>
      <c r="F705" s="314">
        <v>2982020</v>
      </c>
      <c r="G705" s="420">
        <v>40.020000000000003</v>
      </c>
      <c r="J705" s="420" t="s">
        <v>124</v>
      </c>
    </row>
    <row r="706" spans="1:19" x14ac:dyDescent="0.25">
      <c r="A706" s="555" t="s">
        <v>2245</v>
      </c>
      <c r="B706" s="323" t="s">
        <v>0</v>
      </c>
      <c r="C706" s="335" t="s">
        <v>238</v>
      </c>
      <c r="D706" s="421" t="s">
        <v>2275</v>
      </c>
      <c r="E706" s="553">
        <v>351457</v>
      </c>
      <c r="F706" s="314">
        <v>946744</v>
      </c>
      <c r="G706" s="420">
        <v>115.7</v>
      </c>
      <c r="J706" s="420" t="s">
        <v>124</v>
      </c>
    </row>
    <row r="707" spans="1:19" s="336" customFormat="1" x14ac:dyDescent="0.25">
      <c r="A707" s="547" t="s">
        <v>2245</v>
      </c>
      <c r="B707" s="335" t="s">
        <v>0</v>
      </c>
      <c r="C707" s="335" t="s">
        <v>238</v>
      </c>
      <c r="D707" s="423" t="s">
        <v>2127</v>
      </c>
      <c r="E707" s="545">
        <v>353206</v>
      </c>
      <c r="F707" s="342"/>
      <c r="G707" s="422">
        <v>137.33000000000001</v>
      </c>
      <c r="J707" s="545" t="s">
        <v>2254</v>
      </c>
    </row>
    <row r="708" spans="1:19" s="406" customFormat="1" x14ac:dyDescent="0.25">
      <c r="A708" s="555" t="s">
        <v>2245</v>
      </c>
      <c r="B708" s="323" t="s">
        <v>0</v>
      </c>
      <c r="C708" s="335" t="s">
        <v>238</v>
      </c>
      <c r="D708" s="421" t="s">
        <v>2276</v>
      </c>
      <c r="E708" s="553">
        <v>352528</v>
      </c>
      <c r="F708" s="314">
        <v>980644</v>
      </c>
      <c r="G708" s="420">
        <v>242.6</v>
      </c>
      <c r="H708" s="2"/>
      <c r="I708" s="2"/>
      <c r="J708" s="420" t="s">
        <v>124</v>
      </c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5">
      <c r="A709" s="555" t="s">
        <v>2245</v>
      </c>
      <c r="B709" s="323" t="s">
        <v>0</v>
      </c>
      <c r="C709" s="335" t="s">
        <v>238</v>
      </c>
      <c r="D709" s="421" t="s">
        <v>1777</v>
      </c>
      <c r="E709" s="553">
        <v>352537</v>
      </c>
      <c r="F709" s="553">
        <v>975492</v>
      </c>
      <c r="G709" s="420">
        <v>117.3</v>
      </c>
      <c r="J709" s="553" t="s">
        <v>12</v>
      </c>
    </row>
    <row r="710" spans="1:19" s="336" customFormat="1" x14ac:dyDescent="0.25">
      <c r="A710" s="555" t="s">
        <v>2245</v>
      </c>
      <c r="B710" s="323" t="s">
        <v>0</v>
      </c>
      <c r="C710" s="335" t="s">
        <v>238</v>
      </c>
      <c r="D710" s="421" t="s">
        <v>2246</v>
      </c>
      <c r="E710" s="553">
        <v>2225</v>
      </c>
      <c r="F710" s="553">
        <v>976404</v>
      </c>
      <c r="G710" s="420">
        <v>64.900000000000006</v>
      </c>
      <c r="H710" s="2"/>
      <c r="I710" s="2"/>
      <c r="J710" s="553" t="s">
        <v>12</v>
      </c>
      <c r="K710" s="2"/>
      <c r="L710" s="2"/>
      <c r="M710" s="2"/>
      <c r="N710" s="2"/>
      <c r="O710" s="2"/>
      <c r="P710" s="2"/>
      <c r="Q710" s="2"/>
      <c r="R710" s="2"/>
      <c r="S710" s="2"/>
    </row>
    <row r="711" spans="1:19" s="336" customFormat="1" x14ac:dyDescent="0.25">
      <c r="A711" s="555" t="s">
        <v>2245</v>
      </c>
      <c r="B711" s="323" t="s">
        <v>0</v>
      </c>
      <c r="C711" s="335" t="s">
        <v>238</v>
      </c>
      <c r="D711" s="421" t="s">
        <v>1019</v>
      </c>
      <c r="E711" s="553">
        <v>220059</v>
      </c>
      <c r="F711" s="553">
        <v>979680</v>
      </c>
      <c r="G711" s="420">
        <v>35.44</v>
      </c>
      <c r="H711" s="2"/>
      <c r="I711" s="2"/>
      <c r="J711" s="553" t="s">
        <v>12</v>
      </c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5">
      <c r="A712" s="555" t="s">
        <v>2245</v>
      </c>
      <c r="B712" s="323" t="s">
        <v>0</v>
      </c>
      <c r="C712" s="335" t="s">
        <v>238</v>
      </c>
      <c r="D712" s="421" t="s">
        <v>1921</v>
      </c>
      <c r="E712" s="553">
        <v>212937</v>
      </c>
      <c r="F712" s="553">
        <v>979709</v>
      </c>
      <c r="G712" s="420">
        <v>65.05</v>
      </c>
      <c r="J712" s="553" t="s">
        <v>12</v>
      </c>
    </row>
    <row r="713" spans="1:19" x14ac:dyDescent="0.25">
      <c r="A713" s="555" t="s">
        <v>2245</v>
      </c>
      <c r="B713" s="323" t="s">
        <v>0</v>
      </c>
      <c r="C713" s="335" t="s">
        <v>238</v>
      </c>
      <c r="D713" s="421" t="s">
        <v>2249</v>
      </c>
      <c r="E713" s="553">
        <v>352494</v>
      </c>
      <c r="F713" s="553">
        <v>979697</v>
      </c>
      <c r="G713" s="420">
        <v>32.450000000000003</v>
      </c>
      <c r="J713" s="553" t="s">
        <v>12</v>
      </c>
    </row>
    <row r="714" spans="1:19" x14ac:dyDescent="0.25">
      <c r="A714" s="555" t="s">
        <v>2245</v>
      </c>
      <c r="B714" s="323" t="s">
        <v>0</v>
      </c>
      <c r="C714" s="335" t="s">
        <v>238</v>
      </c>
      <c r="D714" s="561" t="s">
        <v>2256</v>
      </c>
      <c r="E714" s="553">
        <v>352526</v>
      </c>
      <c r="F714" s="553">
        <v>980702</v>
      </c>
      <c r="G714" s="420">
        <v>39.9</v>
      </c>
      <c r="J714" s="553" t="s">
        <v>44</v>
      </c>
    </row>
    <row r="715" spans="1:19" x14ac:dyDescent="0.25">
      <c r="A715" s="555" t="s">
        <v>2245</v>
      </c>
      <c r="B715" s="323" t="s">
        <v>0</v>
      </c>
      <c r="C715" s="335" t="s">
        <v>238</v>
      </c>
      <c r="D715" s="561" t="s">
        <v>1381</v>
      </c>
      <c r="E715" s="553">
        <v>225601</v>
      </c>
      <c r="F715" s="553">
        <v>979635</v>
      </c>
      <c r="G715" s="420">
        <v>50.74</v>
      </c>
      <c r="J715" s="553" t="s">
        <v>44</v>
      </c>
    </row>
    <row r="716" spans="1:19" x14ac:dyDescent="0.25">
      <c r="A716" s="555" t="s">
        <v>2245</v>
      </c>
      <c r="B716" s="323" t="s">
        <v>0</v>
      </c>
      <c r="C716" s="335" t="s">
        <v>238</v>
      </c>
      <c r="D716" s="561" t="s">
        <v>2261</v>
      </c>
      <c r="E716" s="553">
        <v>351382</v>
      </c>
      <c r="F716" s="553">
        <v>979696</v>
      </c>
      <c r="G716" s="420">
        <v>52.21</v>
      </c>
      <c r="J716" s="553" t="s">
        <v>44</v>
      </c>
    </row>
    <row r="717" spans="1:19" x14ac:dyDescent="0.25">
      <c r="A717" s="547" t="s">
        <v>2245</v>
      </c>
      <c r="B717" s="335" t="s">
        <v>0</v>
      </c>
      <c r="C717" s="335" t="s">
        <v>238</v>
      </c>
      <c r="D717" s="507" t="s">
        <v>2050</v>
      </c>
      <c r="E717" s="545">
        <v>352777</v>
      </c>
      <c r="F717" s="545"/>
      <c r="G717" s="422">
        <v>62.22</v>
      </c>
      <c r="H717" s="336"/>
      <c r="I717" s="336"/>
      <c r="J717" s="545" t="s">
        <v>2254</v>
      </c>
      <c r="K717" s="336"/>
      <c r="L717" s="336"/>
      <c r="M717" s="336"/>
      <c r="N717" s="336"/>
      <c r="O717" s="336"/>
      <c r="P717" s="336"/>
      <c r="Q717" s="336"/>
      <c r="R717" s="336"/>
      <c r="S717" s="336"/>
    </row>
    <row r="718" spans="1:19" x14ac:dyDescent="0.25">
      <c r="A718" s="555" t="s">
        <v>2245</v>
      </c>
      <c r="B718" s="323" t="s">
        <v>0</v>
      </c>
      <c r="C718" s="335" t="s">
        <v>238</v>
      </c>
      <c r="D718" s="561" t="s">
        <v>1243</v>
      </c>
      <c r="E718" s="420">
        <v>22</v>
      </c>
      <c r="F718" s="420">
        <v>975162</v>
      </c>
      <c r="G718" s="420">
        <v>145.65</v>
      </c>
      <c r="H718" s="407"/>
      <c r="I718" s="407"/>
      <c r="J718" s="420" t="s">
        <v>124</v>
      </c>
      <c r="K718" s="407"/>
      <c r="L718" s="407"/>
      <c r="M718" s="407"/>
      <c r="N718" s="407"/>
      <c r="O718" s="407"/>
      <c r="P718" s="407"/>
      <c r="Q718" s="407"/>
      <c r="R718" s="407"/>
      <c r="S718" s="407"/>
    </row>
    <row r="719" spans="1:19" x14ac:dyDescent="0.25">
      <c r="A719" s="555" t="s">
        <v>2245</v>
      </c>
      <c r="B719" s="323" t="s">
        <v>0</v>
      </c>
      <c r="C719" s="335" t="s">
        <v>238</v>
      </c>
      <c r="D719" s="561" t="s">
        <v>2265</v>
      </c>
      <c r="E719" s="553">
        <v>352529</v>
      </c>
      <c r="F719" s="314">
        <v>979652</v>
      </c>
      <c r="G719" s="420">
        <v>65.180000000000007</v>
      </c>
      <c r="J719" s="420" t="s">
        <v>124</v>
      </c>
    </row>
    <row r="720" spans="1:19" x14ac:dyDescent="0.25">
      <c r="A720" s="547" t="s">
        <v>2245</v>
      </c>
      <c r="B720" s="335" t="s">
        <v>0</v>
      </c>
      <c r="C720" s="335" t="s">
        <v>238</v>
      </c>
      <c r="D720" s="507" t="s">
        <v>2267</v>
      </c>
      <c r="E720" s="545">
        <v>352630</v>
      </c>
      <c r="F720" s="342"/>
      <c r="G720" s="422">
        <v>68.650000000000006</v>
      </c>
      <c r="H720" s="336"/>
      <c r="I720" s="336"/>
      <c r="J720" s="545" t="s">
        <v>2254</v>
      </c>
      <c r="K720" s="336"/>
      <c r="L720" s="336"/>
      <c r="M720" s="336"/>
      <c r="N720" s="336"/>
      <c r="O720" s="336"/>
      <c r="P720" s="336"/>
      <c r="Q720" s="336"/>
      <c r="R720" s="336"/>
      <c r="S720" s="336"/>
    </row>
    <row r="721" spans="1:19" x14ac:dyDescent="0.25">
      <c r="A721" s="555" t="s">
        <v>2245</v>
      </c>
      <c r="B721" s="323" t="s">
        <v>0</v>
      </c>
      <c r="C721" s="335" t="s">
        <v>238</v>
      </c>
      <c r="D721" s="561" t="s">
        <v>2269</v>
      </c>
      <c r="E721" s="553">
        <v>351251</v>
      </c>
      <c r="F721" s="314">
        <v>976245</v>
      </c>
      <c r="G721" s="420">
        <v>69.83</v>
      </c>
      <c r="J721" s="420" t="s">
        <v>124</v>
      </c>
    </row>
    <row r="722" spans="1:19" s="336" customFormat="1" x14ac:dyDescent="0.25">
      <c r="A722" s="555" t="s">
        <v>2245</v>
      </c>
      <c r="B722" s="323" t="s">
        <v>0</v>
      </c>
      <c r="C722" s="335" t="s">
        <v>238</v>
      </c>
      <c r="D722" s="561" t="s">
        <v>1434</v>
      </c>
      <c r="E722" s="553">
        <v>352348</v>
      </c>
      <c r="F722" s="314">
        <v>975563</v>
      </c>
      <c r="G722" s="420">
        <v>74.75</v>
      </c>
      <c r="H722" s="2"/>
      <c r="I722" s="2"/>
      <c r="J722" s="420" t="s">
        <v>124</v>
      </c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5">
      <c r="A723" s="555" t="s">
        <v>2245</v>
      </c>
      <c r="B723" s="323" t="s">
        <v>0</v>
      </c>
      <c r="C723" s="335" t="s">
        <v>238</v>
      </c>
      <c r="D723" s="561" t="s">
        <v>2271</v>
      </c>
      <c r="E723" s="553">
        <v>216331</v>
      </c>
      <c r="F723" s="314">
        <v>976858</v>
      </c>
      <c r="G723" s="420">
        <v>95.66</v>
      </c>
      <c r="J723" s="420" t="s">
        <v>124</v>
      </c>
    </row>
    <row r="724" spans="1:19" x14ac:dyDescent="0.25">
      <c r="A724" s="555" t="s">
        <v>2245</v>
      </c>
      <c r="B724" s="323" t="s">
        <v>0</v>
      </c>
      <c r="C724" s="335" t="s">
        <v>238</v>
      </c>
      <c r="D724" s="421" t="s">
        <v>1459</v>
      </c>
      <c r="E724" s="553">
        <v>211617</v>
      </c>
      <c r="F724" s="314">
        <v>979705</v>
      </c>
      <c r="G724" s="420">
        <v>126.95</v>
      </c>
      <c r="J724" s="420" t="s">
        <v>124</v>
      </c>
    </row>
    <row r="725" spans="1:19" x14ac:dyDescent="0.25">
      <c r="A725" s="555" t="s">
        <v>2245</v>
      </c>
      <c r="B725" s="323" t="s">
        <v>0</v>
      </c>
      <c r="C725" s="335" t="s">
        <v>238</v>
      </c>
      <c r="D725" s="421" t="s">
        <v>1459</v>
      </c>
      <c r="E725" s="553">
        <v>211617</v>
      </c>
      <c r="F725" s="314">
        <v>974824</v>
      </c>
      <c r="G725" s="420">
        <v>35.15</v>
      </c>
      <c r="J725" s="420" t="s">
        <v>124</v>
      </c>
    </row>
    <row r="726" spans="1:19" x14ac:dyDescent="0.25">
      <c r="A726" s="555" t="s">
        <v>2245</v>
      </c>
      <c r="B726" s="323" t="s">
        <v>0</v>
      </c>
      <c r="C726" s="335"/>
      <c r="D726" s="421" t="s">
        <v>2277</v>
      </c>
      <c r="E726" s="553">
        <v>352463</v>
      </c>
      <c r="F726" s="314">
        <v>962963</v>
      </c>
      <c r="G726" s="420">
        <v>326.08</v>
      </c>
      <c r="J726" s="553" t="s">
        <v>117</v>
      </c>
    </row>
    <row r="727" spans="1:19" x14ac:dyDescent="0.25">
      <c r="A727" s="555" t="s">
        <v>2245</v>
      </c>
      <c r="B727" s="323" t="s">
        <v>0</v>
      </c>
      <c r="C727" s="335"/>
      <c r="D727" s="421" t="s">
        <v>2277</v>
      </c>
      <c r="E727" s="553">
        <v>352463</v>
      </c>
      <c r="F727" s="314">
        <v>962963</v>
      </c>
      <c r="G727" s="420">
        <v>326.08</v>
      </c>
      <c r="J727" s="553" t="s">
        <v>117</v>
      </c>
    </row>
    <row r="728" spans="1:19" x14ac:dyDescent="0.25">
      <c r="A728" s="535">
        <v>42830</v>
      </c>
      <c r="B728" s="322" t="s">
        <v>127</v>
      </c>
      <c r="C728" s="562"/>
      <c r="D728" s="392">
        <v>376270713997</v>
      </c>
      <c r="E728" s="550">
        <v>351215</v>
      </c>
      <c r="F728" s="562"/>
      <c r="G728" s="515">
        <f>39.45+67.3</f>
        <v>106.75</v>
      </c>
      <c r="H728" s="532">
        <v>2966433</v>
      </c>
      <c r="I728" s="562"/>
      <c r="J728" s="405" t="s">
        <v>2278</v>
      </c>
      <c r="K728" s="404"/>
      <c r="L728" s="404"/>
      <c r="M728" s="404"/>
      <c r="N728" s="404"/>
      <c r="O728" s="404"/>
      <c r="P728" s="562"/>
      <c r="Q728" s="562"/>
      <c r="R728" s="562"/>
      <c r="S728" s="562"/>
    </row>
    <row r="729" spans="1:19" x14ac:dyDescent="0.25">
      <c r="A729" s="535">
        <v>42830</v>
      </c>
      <c r="B729" s="322" t="s">
        <v>127</v>
      </c>
      <c r="C729" s="562"/>
      <c r="D729" s="392">
        <v>376270713997</v>
      </c>
      <c r="E729" s="550">
        <v>351215</v>
      </c>
      <c r="F729" s="562"/>
      <c r="G729" s="515">
        <f>43.73+87.53</f>
        <v>131.26</v>
      </c>
      <c r="H729" s="532">
        <v>2980000</v>
      </c>
      <c r="I729" s="562"/>
      <c r="J729" s="405" t="s">
        <v>2278</v>
      </c>
      <c r="K729" s="562"/>
      <c r="L729" s="562"/>
      <c r="M729" s="562"/>
      <c r="N729" s="562"/>
      <c r="O729" s="562"/>
      <c r="P729" s="562"/>
      <c r="Q729" s="562"/>
      <c r="R729" s="562"/>
      <c r="S729" s="562"/>
    </row>
    <row r="730" spans="1:19" x14ac:dyDescent="0.25">
      <c r="A730" s="535">
        <v>42830</v>
      </c>
      <c r="B730" s="322" t="s">
        <v>127</v>
      </c>
      <c r="C730" s="562"/>
      <c r="D730" s="392">
        <v>376270713997</v>
      </c>
      <c r="E730" s="550">
        <v>351215</v>
      </c>
      <c r="F730" s="562"/>
      <c r="G730" s="515">
        <v>52.68</v>
      </c>
      <c r="H730" s="532">
        <v>2967271</v>
      </c>
      <c r="I730" s="562"/>
      <c r="J730" s="403" t="s">
        <v>182</v>
      </c>
      <c r="K730" s="562"/>
      <c r="L730" s="562"/>
      <c r="M730" s="562"/>
      <c r="N730" s="562"/>
      <c r="O730" s="562"/>
      <c r="P730" s="562"/>
      <c r="Q730" s="562"/>
      <c r="R730" s="562"/>
      <c r="S730" s="562"/>
    </row>
    <row r="731" spans="1:19" x14ac:dyDescent="0.25">
      <c r="A731" s="535">
        <v>42830</v>
      </c>
      <c r="B731" s="322" t="s">
        <v>127</v>
      </c>
      <c r="C731" s="562"/>
      <c r="D731" s="392">
        <v>376270713997</v>
      </c>
      <c r="E731" s="550">
        <v>351215</v>
      </c>
      <c r="F731" s="562"/>
      <c r="G731" s="515">
        <v>58.61</v>
      </c>
      <c r="H731" s="532">
        <v>2977268</v>
      </c>
      <c r="I731" s="562"/>
      <c r="J731" s="403" t="s">
        <v>182</v>
      </c>
      <c r="K731" s="562"/>
      <c r="L731" s="562"/>
      <c r="M731" s="562"/>
      <c r="N731" s="562"/>
      <c r="O731" s="562"/>
      <c r="P731" s="562"/>
      <c r="Q731" s="562"/>
      <c r="R731" s="562"/>
      <c r="S731" s="562"/>
    </row>
    <row r="732" spans="1:19" x14ac:dyDescent="0.25">
      <c r="A732" s="535">
        <v>42830</v>
      </c>
      <c r="B732" s="322" t="s">
        <v>127</v>
      </c>
      <c r="C732" s="562"/>
      <c r="D732" s="392">
        <v>376270713997</v>
      </c>
      <c r="E732" s="550">
        <v>351215</v>
      </c>
      <c r="F732" s="562"/>
      <c r="G732" s="515">
        <v>118</v>
      </c>
      <c r="H732" s="532">
        <v>2964357</v>
      </c>
      <c r="I732" s="562"/>
      <c r="J732" s="403" t="s">
        <v>182</v>
      </c>
      <c r="K732" s="562"/>
      <c r="L732" s="562"/>
      <c r="M732" s="562"/>
      <c r="N732" s="562"/>
      <c r="O732" s="562"/>
      <c r="P732" s="562"/>
      <c r="Q732" s="562"/>
      <c r="R732" s="562"/>
      <c r="S732" s="562"/>
    </row>
    <row r="733" spans="1:19" x14ac:dyDescent="0.25">
      <c r="A733" s="535">
        <v>42832</v>
      </c>
      <c r="B733" s="322" t="s">
        <v>127</v>
      </c>
      <c r="C733" s="608" t="s">
        <v>4827</v>
      </c>
      <c r="D733" s="392">
        <v>376220439990</v>
      </c>
      <c r="E733" s="550">
        <v>217853</v>
      </c>
      <c r="F733" s="562"/>
      <c r="G733" s="515">
        <f>33.99+149.52</f>
        <v>183.51000000000002</v>
      </c>
      <c r="H733" s="532">
        <v>2949655</v>
      </c>
      <c r="I733" s="562"/>
      <c r="J733" s="405" t="s">
        <v>142</v>
      </c>
      <c r="K733" s="562"/>
      <c r="L733" s="562"/>
      <c r="M733" s="562"/>
      <c r="N733" s="562"/>
      <c r="O733" s="562"/>
      <c r="P733" s="562"/>
      <c r="Q733" s="562"/>
      <c r="R733" s="562"/>
      <c r="S733" s="562"/>
    </row>
    <row r="734" spans="1:19" x14ac:dyDescent="0.25">
      <c r="A734" s="535">
        <v>42830</v>
      </c>
      <c r="B734" s="322" t="s">
        <v>127</v>
      </c>
      <c r="C734" s="562"/>
      <c r="D734" s="392">
        <v>3796214535993</v>
      </c>
      <c r="E734" s="550">
        <v>214122</v>
      </c>
      <c r="F734" s="562"/>
      <c r="G734" s="515">
        <f>10.38+111.52</f>
        <v>121.89999999999999</v>
      </c>
      <c r="H734" s="532">
        <v>2975220</v>
      </c>
      <c r="I734" s="562"/>
      <c r="J734" s="405" t="s">
        <v>142</v>
      </c>
      <c r="K734" s="562"/>
      <c r="L734" s="562"/>
      <c r="M734" s="562"/>
      <c r="N734" s="562"/>
      <c r="O734" s="562"/>
      <c r="P734" s="562"/>
      <c r="Q734" s="562"/>
      <c r="R734" s="562"/>
      <c r="S734" s="562"/>
    </row>
    <row r="735" spans="1:19" x14ac:dyDescent="0.25">
      <c r="A735" s="535">
        <v>42828</v>
      </c>
      <c r="B735" s="322" t="s">
        <v>127</v>
      </c>
      <c r="C735" s="584" t="s">
        <v>1997</v>
      </c>
      <c r="D735" s="392">
        <v>376271092995</v>
      </c>
      <c r="E735" s="550">
        <v>351307</v>
      </c>
      <c r="F735" s="562"/>
      <c r="G735" s="515">
        <f>20.27+34.68</f>
        <v>54.95</v>
      </c>
      <c r="H735" s="532">
        <v>2966863</v>
      </c>
      <c r="I735" s="562"/>
      <c r="J735" s="405" t="s">
        <v>2279</v>
      </c>
      <c r="K735" s="562"/>
      <c r="L735" s="562"/>
      <c r="M735" s="562"/>
      <c r="N735" s="562"/>
      <c r="O735" s="562"/>
      <c r="P735" s="562"/>
      <c r="Q735" s="562"/>
      <c r="R735" s="562"/>
      <c r="S735" s="562"/>
    </row>
    <row r="736" spans="1:19" x14ac:dyDescent="0.25">
      <c r="A736" s="535">
        <v>42829</v>
      </c>
      <c r="B736" s="322" t="s">
        <v>127</v>
      </c>
      <c r="C736" s="584" t="s">
        <v>1997</v>
      </c>
      <c r="D736" s="392">
        <v>376271092995</v>
      </c>
      <c r="E736" s="550">
        <v>351307</v>
      </c>
      <c r="F736" s="562"/>
      <c r="G736" s="515">
        <f>4.33+47.62</f>
        <v>51.949999999999996</v>
      </c>
      <c r="H736" s="532">
        <v>2966867</v>
      </c>
      <c r="I736" s="562"/>
      <c r="J736" s="405" t="s">
        <v>2279</v>
      </c>
      <c r="K736" s="562"/>
      <c r="L736" s="562"/>
      <c r="M736" s="562"/>
      <c r="N736" s="562"/>
      <c r="O736" s="562"/>
      <c r="P736" s="562"/>
      <c r="Q736" s="562"/>
      <c r="R736" s="562"/>
      <c r="S736" s="562"/>
    </row>
    <row r="737" spans="1:19" x14ac:dyDescent="0.25">
      <c r="A737" s="535">
        <v>42829</v>
      </c>
      <c r="B737" s="322" t="s">
        <v>127</v>
      </c>
      <c r="C737" s="584" t="s">
        <v>1997</v>
      </c>
      <c r="D737" s="392">
        <v>376271092995</v>
      </c>
      <c r="E737" s="550">
        <v>351307</v>
      </c>
      <c r="F737" s="562"/>
      <c r="G737" s="515">
        <f>20.27+34.68</f>
        <v>54.95</v>
      </c>
      <c r="H737" s="532">
        <v>2972409</v>
      </c>
      <c r="I737" s="562"/>
      <c r="J737" s="405" t="s">
        <v>2279</v>
      </c>
      <c r="K737" s="562"/>
      <c r="L737" s="562"/>
      <c r="M737" s="562"/>
      <c r="N737" s="562"/>
      <c r="O737" s="562"/>
      <c r="P737" s="562"/>
      <c r="Q737" s="562"/>
      <c r="R737" s="562"/>
      <c r="S737" s="562"/>
    </row>
    <row r="738" spans="1:19" x14ac:dyDescent="0.25">
      <c r="A738" s="535">
        <v>42830</v>
      </c>
      <c r="B738" s="322" t="s">
        <v>127</v>
      </c>
      <c r="C738" s="584" t="s">
        <v>1997</v>
      </c>
      <c r="D738" s="392">
        <v>376271092995</v>
      </c>
      <c r="E738" s="550">
        <v>351307</v>
      </c>
      <c r="F738" s="562"/>
      <c r="G738" s="515">
        <f>26.88+159.02</f>
        <v>185.9</v>
      </c>
      <c r="H738" s="532">
        <v>2975812</v>
      </c>
      <c r="I738" s="562"/>
      <c r="J738" s="405" t="s">
        <v>2279</v>
      </c>
      <c r="K738" s="562"/>
      <c r="L738" s="562"/>
      <c r="M738" s="562"/>
      <c r="N738" s="562"/>
      <c r="O738" s="562"/>
      <c r="P738" s="562"/>
      <c r="Q738" s="562"/>
      <c r="R738" s="562"/>
      <c r="S738" s="562"/>
    </row>
    <row r="739" spans="1:19" x14ac:dyDescent="0.25">
      <c r="A739" s="535">
        <v>42831</v>
      </c>
      <c r="B739" s="322" t="s">
        <v>127</v>
      </c>
      <c r="C739" s="584" t="s">
        <v>1997</v>
      </c>
      <c r="D739" s="392">
        <v>376268786997</v>
      </c>
      <c r="E739" s="550">
        <v>350875</v>
      </c>
      <c r="F739" s="562"/>
      <c r="G739" s="399">
        <f>7.42+15.85</f>
        <v>23.27</v>
      </c>
      <c r="H739" s="532">
        <v>2981764</v>
      </c>
      <c r="I739" s="562"/>
      <c r="J739" s="405" t="s">
        <v>2280</v>
      </c>
      <c r="K739" s="562"/>
      <c r="L739" s="562"/>
      <c r="M739" s="562"/>
      <c r="N739" s="562"/>
      <c r="O739" s="562"/>
      <c r="P739" s="562"/>
      <c r="Q739" s="562"/>
      <c r="R739" s="562"/>
      <c r="S739" s="562"/>
    </row>
    <row r="740" spans="1:19" x14ac:dyDescent="0.25">
      <c r="A740" s="368">
        <v>42835</v>
      </c>
      <c r="B740" s="323" t="s">
        <v>127</v>
      </c>
      <c r="D740" s="392" t="s">
        <v>181</v>
      </c>
      <c r="E740" s="550">
        <v>351215</v>
      </c>
      <c r="G740" s="399">
        <v>115.04</v>
      </c>
      <c r="H740" s="532">
        <v>2989612</v>
      </c>
      <c r="J740" s="403" t="s">
        <v>182</v>
      </c>
    </row>
    <row r="741" spans="1:19" x14ac:dyDescent="0.25">
      <c r="A741" s="321">
        <v>42835</v>
      </c>
      <c r="B741" s="323" t="s">
        <v>127</v>
      </c>
      <c r="D741" s="392" t="s">
        <v>181</v>
      </c>
      <c r="E741" s="550">
        <v>351215</v>
      </c>
      <c r="G741" s="399">
        <v>135.47</v>
      </c>
      <c r="H741" s="532">
        <v>2989724</v>
      </c>
      <c r="J741" s="403" t="s">
        <v>182</v>
      </c>
    </row>
    <row r="742" spans="1:19" x14ac:dyDescent="0.25">
      <c r="A742" s="321">
        <v>42839</v>
      </c>
      <c r="B742" s="323" t="s">
        <v>127</v>
      </c>
      <c r="D742" s="392" t="s">
        <v>181</v>
      </c>
      <c r="E742" s="550">
        <v>351215</v>
      </c>
      <c r="G742" s="399">
        <v>90.95</v>
      </c>
      <c r="H742" s="532">
        <v>2997268</v>
      </c>
      <c r="J742" s="403" t="s">
        <v>182</v>
      </c>
    </row>
    <row r="743" spans="1:19" x14ac:dyDescent="0.25">
      <c r="A743" s="321">
        <v>42837</v>
      </c>
      <c r="B743" s="323" t="s">
        <v>127</v>
      </c>
      <c r="D743" s="392" t="s">
        <v>2130</v>
      </c>
      <c r="E743" s="550">
        <v>214122</v>
      </c>
      <c r="G743" s="399">
        <f>10+42.25</f>
        <v>52.25</v>
      </c>
      <c r="H743" s="532">
        <v>3002581</v>
      </c>
      <c r="J743" s="2" t="s">
        <v>142</v>
      </c>
    </row>
    <row r="744" spans="1:19" x14ac:dyDescent="0.25">
      <c r="A744" s="321">
        <v>42839</v>
      </c>
      <c r="B744" s="323" t="s">
        <v>127</v>
      </c>
      <c r="D744" s="392" t="s">
        <v>2130</v>
      </c>
      <c r="E744" s="550">
        <v>214122</v>
      </c>
      <c r="G744" s="399">
        <f>1.27+52.68</f>
        <v>53.95</v>
      </c>
      <c r="H744" s="532">
        <v>3011460</v>
      </c>
      <c r="J744" s="2" t="s">
        <v>142</v>
      </c>
    </row>
    <row r="745" spans="1:19" x14ac:dyDescent="0.25">
      <c r="A745" s="321">
        <v>42838</v>
      </c>
      <c r="B745" s="323" t="s">
        <v>127</v>
      </c>
      <c r="D745" s="392" t="s">
        <v>1248</v>
      </c>
      <c r="E745" s="550">
        <v>222695</v>
      </c>
      <c r="G745" s="399">
        <v>62.5</v>
      </c>
      <c r="H745" s="532">
        <v>3008299</v>
      </c>
      <c r="J745" s="403" t="s">
        <v>182</v>
      </c>
    </row>
    <row r="746" spans="1:19" x14ac:dyDescent="0.25">
      <c r="A746" s="321">
        <v>42837</v>
      </c>
      <c r="B746" s="323" t="s">
        <v>127</v>
      </c>
      <c r="C746" s="584" t="s">
        <v>1997</v>
      </c>
      <c r="D746" s="392" t="s">
        <v>216</v>
      </c>
      <c r="E746" s="550">
        <v>350875</v>
      </c>
      <c r="G746" s="399">
        <f>7.33+31.84</f>
        <v>39.17</v>
      </c>
      <c r="H746" s="532">
        <v>2996965</v>
      </c>
      <c r="J746" s="405" t="s">
        <v>2287</v>
      </c>
    </row>
    <row r="747" spans="1:19" x14ac:dyDescent="0.25">
      <c r="A747" s="321">
        <v>42839</v>
      </c>
      <c r="B747" s="323" t="s">
        <v>127</v>
      </c>
      <c r="C747" s="584" t="s">
        <v>1997</v>
      </c>
      <c r="D747" s="392" t="s">
        <v>216</v>
      </c>
      <c r="E747" s="550">
        <v>350875</v>
      </c>
      <c r="G747" s="399">
        <f>18.77+29.88</f>
        <v>48.65</v>
      </c>
      <c r="H747" s="532">
        <v>3010847</v>
      </c>
      <c r="J747" s="405" t="s">
        <v>2287</v>
      </c>
    </row>
    <row r="748" spans="1:19" x14ac:dyDescent="0.25">
      <c r="A748" s="321">
        <v>42839</v>
      </c>
      <c r="B748" s="323" t="s">
        <v>127</v>
      </c>
      <c r="C748" s="584" t="s">
        <v>1997</v>
      </c>
      <c r="D748" s="323" t="s">
        <v>214</v>
      </c>
      <c r="E748" s="392">
        <v>351307</v>
      </c>
      <c r="F748" s="550"/>
      <c r="G748" s="553">
        <f>3.72+42.14</f>
        <v>45.86</v>
      </c>
      <c r="H748" s="532">
        <v>3011701</v>
      </c>
      <c r="J748" s="405" t="s">
        <v>2288</v>
      </c>
    </row>
    <row r="749" spans="1:19" x14ac:dyDescent="0.25">
      <c r="A749" s="321" t="s">
        <v>2291</v>
      </c>
      <c r="B749" s="323" t="s">
        <v>0</v>
      </c>
      <c r="C749" s="335" t="s">
        <v>238</v>
      </c>
      <c r="D749" s="582" t="s">
        <v>2514</v>
      </c>
      <c r="E749" s="392"/>
      <c r="F749" s="583" t="s">
        <v>2515</v>
      </c>
      <c r="G749" s="553">
        <v>45.95</v>
      </c>
      <c r="H749" s="532">
        <v>2979684</v>
      </c>
      <c r="J749" s="488" t="s">
        <v>2516</v>
      </c>
    </row>
    <row r="750" spans="1:19" x14ac:dyDescent="0.25">
      <c r="A750" s="321" t="s">
        <v>2291</v>
      </c>
      <c r="B750" s="323" t="s">
        <v>0</v>
      </c>
      <c r="C750" s="335" t="s">
        <v>238</v>
      </c>
      <c r="D750" s="392" t="s">
        <v>2339</v>
      </c>
      <c r="E750" s="550">
        <v>217937</v>
      </c>
      <c r="F750" s="390" t="s">
        <v>2512</v>
      </c>
      <c r="G750" s="399">
        <v>77.900000000000006</v>
      </c>
      <c r="H750" s="532">
        <v>2971073</v>
      </c>
      <c r="J750" s="488" t="s">
        <v>2513</v>
      </c>
    </row>
    <row r="751" spans="1:19" x14ac:dyDescent="0.25">
      <c r="A751" s="321" t="s">
        <v>2291</v>
      </c>
      <c r="B751" s="323" t="s">
        <v>0</v>
      </c>
      <c r="C751" s="335" t="s">
        <v>238</v>
      </c>
      <c r="D751" s="392" t="s">
        <v>1900</v>
      </c>
      <c r="E751" s="550">
        <v>352415</v>
      </c>
      <c r="F751" s="314" t="s">
        <v>2290</v>
      </c>
      <c r="G751" s="399">
        <v>42.94</v>
      </c>
      <c r="H751" s="532">
        <v>3012803</v>
      </c>
      <c r="J751" s="405" t="s">
        <v>2289</v>
      </c>
    </row>
    <row r="752" spans="1:19" x14ac:dyDescent="0.25">
      <c r="A752" s="321" t="s">
        <v>2291</v>
      </c>
      <c r="B752" s="323" t="s">
        <v>0</v>
      </c>
      <c r="C752" s="335" t="s">
        <v>238</v>
      </c>
      <c r="D752" s="392" t="s">
        <v>2235</v>
      </c>
      <c r="E752" s="550">
        <v>218656</v>
      </c>
      <c r="F752" s="314" t="s">
        <v>2293</v>
      </c>
      <c r="G752" s="399">
        <v>31.97</v>
      </c>
      <c r="H752" s="532">
        <v>3011048</v>
      </c>
      <c r="J752" s="405" t="s">
        <v>2292</v>
      </c>
    </row>
    <row r="753" spans="1:10" x14ac:dyDescent="0.25">
      <c r="A753" s="321" t="s">
        <v>2291</v>
      </c>
      <c r="B753" s="323" t="s">
        <v>0</v>
      </c>
      <c r="C753" s="335" t="s">
        <v>238</v>
      </c>
      <c r="D753" s="392" t="s">
        <v>2296</v>
      </c>
      <c r="E753" s="550">
        <v>350452</v>
      </c>
      <c r="F753" s="314" t="s">
        <v>2295</v>
      </c>
      <c r="G753" s="399">
        <v>170.75</v>
      </c>
      <c r="H753" s="532">
        <v>3011336</v>
      </c>
      <c r="J753" s="405" t="s">
        <v>2294</v>
      </c>
    </row>
    <row r="754" spans="1:10" x14ac:dyDescent="0.25">
      <c r="A754" s="321" t="s">
        <v>2291</v>
      </c>
      <c r="B754" s="323" t="s">
        <v>0</v>
      </c>
      <c r="C754" s="335" t="s">
        <v>238</v>
      </c>
      <c r="D754" s="392" t="s">
        <v>1291</v>
      </c>
      <c r="E754" s="550">
        <v>351726</v>
      </c>
      <c r="F754" s="314" t="s">
        <v>2298</v>
      </c>
      <c r="G754" s="399">
        <v>59.9</v>
      </c>
      <c r="H754" s="532">
        <v>3015004</v>
      </c>
      <c r="J754" s="405" t="s">
        <v>2297</v>
      </c>
    </row>
    <row r="755" spans="1:10" x14ac:dyDescent="0.25">
      <c r="A755" s="321" t="s">
        <v>2291</v>
      </c>
      <c r="B755" s="323" t="s">
        <v>0</v>
      </c>
      <c r="D755" s="392" t="s">
        <v>1394</v>
      </c>
      <c r="E755" s="550">
        <v>101198</v>
      </c>
      <c r="F755" s="314" t="s">
        <v>2301</v>
      </c>
      <c r="G755" s="399">
        <v>55.87</v>
      </c>
      <c r="H755" s="532">
        <v>2993948</v>
      </c>
      <c r="J755" s="405" t="s">
        <v>2299</v>
      </c>
    </row>
    <row r="756" spans="1:10" x14ac:dyDescent="0.25">
      <c r="A756" s="321" t="s">
        <v>2291</v>
      </c>
      <c r="B756" s="323" t="s">
        <v>0</v>
      </c>
      <c r="D756" s="392" t="s">
        <v>1394</v>
      </c>
      <c r="E756" s="550">
        <v>101198</v>
      </c>
      <c r="F756" s="390" t="s">
        <v>2301</v>
      </c>
      <c r="G756" s="399">
        <v>-55.87</v>
      </c>
      <c r="H756" s="532">
        <v>2993948</v>
      </c>
      <c r="J756" s="405" t="s">
        <v>2300</v>
      </c>
    </row>
    <row r="757" spans="1:10" x14ac:dyDescent="0.25">
      <c r="A757" s="321" t="s">
        <v>2291</v>
      </c>
      <c r="B757" s="323" t="s">
        <v>0</v>
      </c>
      <c r="D757" s="392" t="s">
        <v>1394</v>
      </c>
      <c r="E757" s="550">
        <v>101198</v>
      </c>
      <c r="F757" s="314" t="s">
        <v>2301</v>
      </c>
      <c r="G757" s="399">
        <v>-55.87</v>
      </c>
      <c r="H757" s="532">
        <v>2993948</v>
      </c>
      <c r="J757" s="405" t="s">
        <v>2302</v>
      </c>
    </row>
    <row r="758" spans="1:10" x14ac:dyDescent="0.25">
      <c r="A758" s="321" t="s">
        <v>2291</v>
      </c>
      <c r="B758" s="323" t="s">
        <v>0</v>
      </c>
      <c r="D758" s="392" t="s">
        <v>1394</v>
      </c>
      <c r="E758" s="550">
        <v>101198</v>
      </c>
      <c r="F758" s="314" t="s">
        <v>2301</v>
      </c>
      <c r="G758" s="399">
        <v>-55.87</v>
      </c>
      <c r="H758" s="532">
        <v>2993948</v>
      </c>
      <c r="J758" s="405" t="s">
        <v>2302</v>
      </c>
    </row>
    <row r="759" spans="1:10" x14ac:dyDescent="0.25">
      <c r="A759" s="321" t="s">
        <v>2291</v>
      </c>
      <c r="B759" s="323" t="s">
        <v>0</v>
      </c>
      <c r="C759" s="335" t="s">
        <v>238</v>
      </c>
      <c r="D759" s="392" t="s">
        <v>108</v>
      </c>
      <c r="E759" s="550">
        <v>350417</v>
      </c>
      <c r="F759" s="314" t="s">
        <v>2304</v>
      </c>
      <c r="G759" s="399">
        <v>92.38</v>
      </c>
      <c r="H759" s="532">
        <v>3013612</v>
      </c>
      <c r="J759" s="488" t="s">
        <v>2303</v>
      </c>
    </row>
    <row r="760" spans="1:10" x14ac:dyDescent="0.25">
      <c r="A760" s="321" t="s">
        <v>2291</v>
      </c>
      <c r="B760" s="323" t="s">
        <v>0</v>
      </c>
      <c r="C760" s="335" t="s">
        <v>238</v>
      </c>
      <c r="D760" s="392" t="s">
        <v>1671</v>
      </c>
      <c r="E760" s="550">
        <v>214427</v>
      </c>
      <c r="F760" s="314" t="s">
        <v>2308</v>
      </c>
      <c r="G760" s="399">
        <v>24.56</v>
      </c>
      <c r="H760" s="532">
        <v>3008789</v>
      </c>
      <c r="J760" s="488" t="s">
        <v>2305</v>
      </c>
    </row>
    <row r="761" spans="1:10" x14ac:dyDescent="0.25">
      <c r="A761" s="321" t="s">
        <v>2291</v>
      </c>
      <c r="B761" s="323" t="s">
        <v>0</v>
      </c>
      <c r="C761" s="323" t="s">
        <v>2439</v>
      </c>
      <c r="D761" s="392" t="s">
        <v>2307</v>
      </c>
      <c r="E761" s="550">
        <v>351733</v>
      </c>
      <c r="F761" s="314" t="s">
        <v>2309</v>
      </c>
      <c r="G761" s="399">
        <v>99.05</v>
      </c>
      <c r="H761" s="532">
        <v>2983245</v>
      </c>
      <c r="J761" s="488" t="s">
        <v>2306</v>
      </c>
    </row>
    <row r="762" spans="1:10" x14ac:dyDescent="0.25">
      <c r="A762" s="321" t="s">
        <v>2291</v>
      </c>
      <c r="B762" s="323" t="s">
        <v>0</v>
      </c>
      <c r="C762" s="335" t="s">
        <v>238</v>
      </c>
      <c r="D762" s="392" t="s">
        <v>2262</v>
      </c>
      <c r="E762" s="550">
        <v>2068</v>
      </c>
      <c r="F762" s="314" t="s">
        <v>2311</v>
      </c>
      <c r="G762" s="399">
        <v>30.65</v>
      </c>
      <c r="H762" s="532">
        <v>3012800</v>
      </c>
      <c r="J762" s="488" t="s">
        <v>2310</v>
      </c>
    </row>
    <row r="763" spans="1:10" x14ac:dyDescent="0.25">
      <c r="A763" s="321" t="s">
        <v>2291</v>
      </c>
      <c r="B763" s="323" t="s">
        <v>0</v>
      </c>
      <c r="C763" s="335" t="s">
        <v>238</v>
      </c>
      <c r="D763" s="392" t="s">
        <v>2312</v>
      </c>
      <c r="E763" s="550">
        <v>217797</v>
      </c>
      <c r="F763" s="314" t="s">
        <v>2314</v>
      </c>
      <c r="G763" s="399">
        <v>34.15</v>
      </c>
      <c r="H763" s="532">
        <v>3014363</v>
      </c>
      <c r="J763" s="488" t="s">
        <v>2313</v>
      </c>
    </row>
    <row r="764" spans="1:10" x14ac:dyDescent="0.25">
      <c r="A764" s="321" t="s">
        <v>2291</v>
      </c>
      <c r="B764" s="323" t="s">
        <v>0</v>
      </c>
      <c r="C764" s="323" t="s">
        <v>2439</v>
      </c>
      <c r="D764" s="392" t="s">
        <v>2319</v>
      </c>
      <c r="E764" s="550">
        <v>226863</v>
      </c>
      <c r="F764" s="314" t="s">
        <v>2317</v>
      </c>
      <c r="G764" s="399">
        <v>36.159999999999997</v>
      </c>
      <c r="H764" s="532">
        <v>3009950</v>
      </c>
      <c r="J764" s="488" t="s">
        <v>2315</v>
      </c>
    </row>
    <row r="765" spans="1:10" x14ac:dyDescent="0.25">
      <c r="A765" s="321" t="s">
        <v>2291</v>
      </c>
      <c r="B765" s="323" t="s">
        <v>0</v>
      </c>
      <c r="C765" s="335" t="s">
        <v>238</v>
      </c>
      <c r="D765" s="392" t="s">
        <v>2320</v>
      </c>
      <c r="E765" s="550">
        <v>351288</v>
      </c>
      <c r="F765" s="314" t="s">
        <v>2318</v>
      </c>
      <c r="G765" s="399">
        <v>36.4</v>
      </c>
      <c r="H765" s="532">
        <v>3012797</v>
      </c>
      <c r="J765" s="488" t="s">
        <v>2316</v>
      </c>
    </row>
    <row r="766" spans="1:10" x14ac:dyDescent="0.25">
      <c r="A766" s="321" t="s">
        <v>2291</v>
      </c>
      <c r="B766" s="323" t="s">
        <v>0</v>
      </c>
      <c r="C766" s="335" t="s">
        <v>238</v>
      </c>
      <c r="D766" s="392" t="s">
        <v>2321</v>
      </c>
      <c r="E766" s="550">
        <v>216838</v>
      </c>
      <c r="F766" s="314" t="s">
        <v>2327</v>
      </c>
      <c r="G766" s="399">
        <v>36.950000000000003</v>
      </c>
      <c r="H766" s="532">
        <v>3014009</v>
      </c>
      <c r="J766" s="488" t="s">
        <v>2324</v>
      </c>
    </row>
    <row r="767" spans="1:10" x14ac:dyDescent="0.25">
      <c r="A767" s="321" t="s">
        <v>2291</v>
      </c>
      <c r="B767" s="323" t="s">
        <v>0</v>
      </c>
      <c r="C767" s="335" t="s">
        <v>238</v>
      </c>
      <c r="D767" s="392" t="s">
        <v>2322</v>
      </c>
      <c r="E767" s="550">
        <v>350451</v>
      </c>
      <c r="F767" s="314" t="s">
        <v>2328</v>
      </c>
      <c r="G767" s="399">
        <v>37.83</v>
      </c>
      <c r="H767" s="532">
        <v>3012795</v>
      </c>
      <c r="J767" s="488" t="s">
        <v>2325</v>
      </c>
    </row>
    <row r="768" spans="1:10" x14ac:dyDescent="0.25">
      <c r="A768" s="321" t="s">
        <v>2291</v>
      </c>
      <c r="B768" s="323" t="s">
        <v>0</v>
      </c>
      <c r="C768" s="335" t="s">
        <v>238</v>
      </c>
      <c r="D768" s="392" t="s">
        <v>2323</v>
      </c>
      <c r="E768" s="550">
        <v>218953</v>
      </c>
      <c r="F768" s="314" t="s">
        <v>2329</v>
      </c>
      <c r="G768" s="399">
        <v>39.450000000000003</v>
      </c>
      <c r="H768" s="532">
        <v>3012787</v>
      </c>
      <c r="J768" s="488" t="s">
        <v>2326</v>
      </c>
    </row>
    <row r="769" spans="1:10" x14ac:dyDescent="0.25">
      <c r="A769" s="321" t="s">
        <v>2291</v>
      </c>
      <c r="B769" s="323" t="s">
        <v>0</v>
      </c>
      <c r="C769" s="335" t="s">
        <v>238</v>
      </c>
      <c r="D769" s="392" t="s">
        <v>2336</v>
      </c>
      <c r="E769" s="550">
        <v>352945</v>
      </c>
      <c r="F769" s="314" t="s">
        <v>2327</v>
      </c>
      <c r="G769" s="399">
        <v>41.35</v>
      </c>
      <c r="H769" s="532">
        <v>3014009</v>
      </c>
      <c r="J769" s="488" t="s">
        <v>2330</v>
      </c>
    </row>
    <row r="770" spans="1:10" x14ac:dyDescent="0.25">
      <c r="A770" s="321" t="s">
        <v>2291</v>
      </c>
      <c r="B770" s="323" t="s">
        <v>0</v>
      </c>
      <c r="C770" s="335" t="s">
        <v>238</v>
      </c>
      <c r="D770" s="392" t="s">
        <v>2337</v>
      </c>
      <c r="E770" s="550">
        <v>352101</v>
      </c>
      <c r="F770" s="314" t="s">
        <v>2341</v>
      </c>
      <c r="G770" s="399">
        <v>45.86</v>
      </c>
      <c r="H770" s="532">
        <v>3012145</v>
      </c>
      <c r="J770" s="488" t="s">
        <v>2331</v>
      </c>
    </row>
    <row r="771" spans="1:10" x14ac:dyDescent="0.25">
      <c r="A771" s="321" t="s">
        <v>2291</v>
      </c>
      <c r="B771" s="323" t="s">
        <v>0</v>
      </c>
      <c r="C771" s="335" t="s">
        <v>238</v>
      </c>
      <c r="D771" s="392" t="s">
        <v>91</v>
      </c>
      <c r="E771" s="550">
        <v>350259</v>
      </c>
      <c r="F771" s="314" t="s">
        <v>2342</v>
      </c>
      <c r="G771" s="399">
        <v>46.9</v>
      </c>
      <c r="H771" s="532">
        <v>3012528</v>
      </c>
      <c r="J771" s="488" t="s">
        <v>2332</v>
      </c>
    </row>
    <row r="772" spans="1:10" x14ac:dyDescent="0.25">
      <c r="A772" s="321" t="s">
        <v>2291</v>
      </c>
      <c r="B772" s="323" t="s">
        <v>0</v>
      </c>
      <c r="C772" s="335" t="s">
        <v>238</v>
      </c>
      <c r="D772" s="392" t="s">
        <v>2338</v>
      </c>
      <c r="E772" s="550">
        <v>351320</v>
      </c>
      <c r="F772" s="314" t="s">
        <v>2343</v>
      </c>
      <c r="G772" s="399">
        <v>47.58</v>
      </c>
      <c r="H772" s="532">
        <v>3014081</v>
      </c>
      <c r="J772" s="488" t="s">
        <v>2333</v>
      </c>
    </row>
    <row r="773" spans="1:10" x14ac:dyDescent="0.25">
      <c r="A773" s="321" t="s">
        <v>2291</v>
      </c>
      <c r="B773" s="323" t="s">
        <v>0</v>
      </c>
      <c r="C773" s="335" t="s">
        <v>238</v>
      </c>
      <c r="D773" s="392" t="s">
        <v>2339</v>
      </c>
      <c r="E773" s="550">
        <v>217937</v>
      </c>
      <c r="F773" s="314" t="s">
        <v>2344</v>
      </c>
      <c r="G773" s="399">
        <v>48.15</v>
      </c>
      <c r="H773" s="532">
        <v>3012784</v>
      </c>
      <c r="J773" s="488" t="s">
        <v>2334</v>
      </c>
    </row>
    <row r="774" spans="1:10" x14ac:dyDescent="0.25">
      <c r="A774" s="321" t="s">
        <v>2291</v>
      </c>
      <c r="B774" s="323" t="s">
        <v>0</v>
      </c>
      <c r="C774" s="335" t="s">
        <v>238</v>
      </c>
      <c r="D774" s="392" t="s">
        <v>2340</v>
      </c>
      <c r="E774" s="383">
        <v>225148</v>
      </c>
      <c r="F774" s="314" t="s">
        <v>2345</v>
      </c>
      <c r="G774" s="399">
        <v>49.55</v>
      </c>
      <c r="H774" s="532">
        <v>3012789</v>
      </c>
      <c r="J774" s="488" t="s">
        <v>2335</v>
      </c>
    </row>
    <row r="775" spans="1:10" x14ac:dyDescent="0.25">
      <c r="A775" s="321" t="s">
        <v>2291</v>
      </c>
      <c r="B775" s="323" t="s">
        <v>0</v>
      </c>
      <c r="C775" s="323" t="s">
        <v>2439</v>
      </c>
      <c r="D775" s="392" t="s">
        <v>2348</v>
      </c>
      <c r="E775" s="383">
        <v>352657</v>
      </c>
      <c r="F775" s="314" t="s">
        <v>2398</v>
      </c>
      <c r="G775" s="399">
        <v>52.95</v>
      </c>
      <c r="H775" s="532">
        <v>3014185</v>
      </c>
      <c r="J775" s="488" t="s">
        <v>2346</v>
      </c>
    </row>
    <row r="776" spans="1:10" x14ac:dyDescent="0.25">
      <c r="A776" s="321" t="s">
        <v>2291</v>
      </c>
      <c r="B776" s="323" t="s">
        <v>0</v>
      </c>
      <c r="C776" s="335" t="s">
        <v>238</v>
      </c>
      <c r="D776" s="392" t="s">
        <v>2349</v>
      </c>
      <c r="E776" s="383">
        <v>213128</v>
      </c>
      <c r="F776" s="314" t="s">
        <v>2399</v>
      </c>
      <c r="G776" s="399">
        <v>55.85</v>
      </c>
      <c r="H776" s="532">
        <v>3012811</v>
      </c>
      <c r="J776" s="488" t="s">
        <v>2347</v>
      </c>
    </row>
    <row r="777" spans="1:10" x14ac:dyDescent="0.25">
      <c r="A777" s="321" t="s">
        <v>2291</v>
      </c>
      <c r="B777" s="323" t="s">
        <v>0</v>
      </c>
      <c r="C777" s="335" t="s">
        <v>238</v>
      </c>
      <c r="D777" s="392" t="s">
        <v>2350</v>
      </c>
      <c r="E777" s="383">
        <v>351422</v>
      </c>
      <c r="F777" s="314" t="s">
        <v>2400</v>
      </c>
      <c r="G777" s="399">
        <v>57.66</v>
      </c>
      <c r="H777" s="532">
        <v>3012844</v>
      </c>
      <c r="J777" s="488" t="s">
        <v>2352</v>
      </c>
    </row>
    <row r="778" spans="1:10" x14ac:dyDescent="0.25">
      <c r="A778" s="321" t="s">
        <v>2291</v>
      </c>
      <c r="B778" s="323" t="s">
        <v>0</v>
      </c>
      <c r="C778" s="335" t="s">
        <v>238</v>
      </c>
      <c r="D778" s="392" t="s">
        <v>2351</v>
      </c>
      <c r="E778" s="383">
        <v>214747</v>
      </c>
      <c r="F778" s="314" t="s">
        <v>2401</v>
      </c>
      <c r="G778" s="399">
        <v>59.95</v>
      </c>
      <c r="H778" s="532">
        <v>3014104</v>
      </c>
      <c r="J778" s="488" t="s">
        <v>2353</v>
      </c>
    </row>
    <row r="779" spans="1:10" x14ac:dyDescent="0.25">
      <c r="A779" s="321" t="s">
        <v>2291</v>
      </c>
      <c r="B779" s="323" t="s">
        <v>0</v>
      </c>
      <c r="C779" s="335" t="s">
        <v>238</v>
      </c>
      <c r="D779" s="392" t="s">
        <v>2356</v>
      </c>
      <c r="E779" s="383">
        <v>352081</v>
      </c>
      <c r="F779" s="314" t="s">
        <v>2402</v>
      </c>
      <c r="G779" s="399">
        <v>61.25</v>
      </c>
      <c r="H779" s="532">
        <v>3014378</v>
      </c>
      <c r="J779" s="488" t="s">
        <v>2354</v>
      </c>
    </row>
    <row r="780" spans="1:10" x14ac:dyDescent="0.25">
      <c r="A780" s="321" t="s">
        <v>2291</v>
      </c>
      <c r="B780" s="323" t="s">
        <v>0</v>
      </c>
      <c r="C780" s="335" t="s">
        <v>238</v>
      </c>
      <c r="D780" s="392" t="s">
        <v>2357</v>
      </c>
      <c r="E780" s="383">
        <v>351472</v>
      </c>
      <c r="F780" s="314" t="s">
        <v>2403</v>
      </c>
      <c r="G780" s="399">
        <v>61.75</v>
      </c>
      <c r="H780" s="532">
        <v>3012832</v>
      </c>
      <c r="J780" s="488" t="s">
        <v>2355</v>
      </c>
    </row>
    <row r="781" spans="1:10" x14ac:dyDescent="0.25">
      <c r="A781" s="321" t="s">
        <v>2291</v>
      </c>
      <c r="B781" s="323" t="s">
        <v>0</v>
      </c>
      <c r="C781" s="335" t="s">
        <v>238</v>
      </c>
      <c r="D781" s="392" t="s">
        <v>75</v>
      </c>
      <c r="E781" s="383">
        <v>350332</v>
      </c>
      <c r="F781" s="314" t="s">
        <v>2404</v>
      </c>
      <c r="G781" s="399">
        <v>65.55</v>
      </c>
      <c r="H781" s="532">
        <v>3014600</v>
      </c>
      <c r="J781" s="488" t="s">
        <v>2358</v>
      </c>
    </row>
    <row r="782" spans="1:10" x14ac:dyDescent="0.25">
      <c r="A782" s="321" t="s">
        <v>2291</v>
      </c>
      <c r="B782" s="323" t="s">
        <v>0</v>
      </c>
      <c r="C782" s="335" t="s">
        <v>238</v>
      </c>
      <c r="D782" s="392" t="s">
        <v>2363</v>
      </c>
      <c r="E782" s="383">
        <v>350576</v>
      </c>
      <c r="F782" s="314" t="s">
        <v>2405</v>
      </c>
      <c r="G782" s="399">
        <v>66.52</v>
      </c>
      <c r="H782" s="532">
        <v>3012765</v>
      </c>
      <c r="J782" s="488" t="s">
        <v>2359</v>
      </c>
    </row>
    <row r="783" spans="1:10" x14ac:dyDescent="0.25">
      <c r="A783" s="321" t="s">
        <v>2291</v>
      </c>
      <c r="B783" s="323" t="s">
        <v>0</v>
      </c>
      <c r="C783" s="335" t="s">
        <v>238</v>
      </c>
      <c r="D783" s="392" t="s">
        <v>2269</v>
      </c>
      <c r="E783" s="383">
        <v>351251</v>
      </c>
      <c r="F783" s="314" t="s">
        <v>2406</v>
      </c>
      <c r="G783" s="399">
        <v>66.92</v>
      </c>
      <c r="H783" s="532">
        <v>3012810</v>
      </c>
      <c r="J783" s="488" t="s">
        <v>2360</v>
      </c>
    </row>
    <row r="784" spans="1:10" x14ac:dyDescent="0.25">
      <c r="A784" s="321" t="s">
        <v>2291</v>
      </c>
      <c r="B784" s="323" t="s">
        <v>0</v>
      </c>
      <c r="C784" s="335" t="s">
        <v>238</v>
      </c>
      <c r="D784" s="392" t="s">
        <v>2219</v>
      </c>
      <c r="E784" s="383">
        <v>350538</v>
      </c>
      <c r="F784" s="314" t="s">
        <v>2407</v>
      </c>
      <c r="G784" s="399">
        <v>66.95</v>
      </c>
      <c r="H784" s="532">
        <v>3013615</v>
      </c>
      <c r="J784" s="488" t="s">
        <v>2361</v>
      </c>
    </row>
    <row r="785" spans="1:10" x14ac:dyDescent="0.25">
      <c r="A785" s="321" t="s">
        <v>2291</v>
      </c>
      <c r="B785" s="323" t="s">
        <v>0</v>
      </c>
      <c r="C785" s="335" t="s">
        <v>238</v>
      </c>
      <c r="D785" s="392" t="s">
        <v>2364</v>
      </c>
      <c r="E785" s="383">
        <v>352934</v>
      </c>
      <c r="F785" s="314" t="s">
        <v>2408</v>
      </c>
      <c r="G785" s="399">
        <v>67.8</v>
      </c>
      <c r="H785" s="532">
        <v>3012816</v>
      </c>
      <c r="J785" s="488" t="s">
        <v>2362</v>
      </c>
    </row>
    <row r="786" spans="1:10" x14ac:dyDescent="0.25">
      <c r="A786" s="321" t="s">
        <v>2291</v>
      </c>
      <c r="B786" s="323" t="s">
        <v>0</v>
      </c>
      <c r="C786" s="335" t="s">
        <v>238</v>
      </c>
      <c r="D786" s="392" t="s">
        <v>2232</v>
      </c>
      <c r="E786" s="383">
        <v>217636</v>
      </c>
      <c r="F786" s="314" t="s">
        <v>2409</v>
      </c>
      <c r="G786" s="399">
        <v>70.95</v>
      </c>
      <c r="H786" s="532">
        <v>3010549</v>
      </c>
      <c r="J786" s="488" t="s">
        <v>2365</v>
      </c>
    </row>
    <row r="787" spans="1:10" x14ac:dyDescent="0.25">
      <c r="A787" s="321" t="s">
        <v>2291</v>
      </c>
      <c r="B787" s="323" t="s">
        <v>0</v>
      </c>
      <c r="C787" s="335" t="s">
        <v>238</v>
      </c>
      <c r="D787" s="392" t="s">
        <v>2367</v>
      </c>
      <c r="E787" s="383">
        <v>351522</v>
      </c>
      <c r="F787" s="314" t="s">
        <v>2410</v>
      </c>
      <c r="G787" s="399">
        <v>72.62</v>
      </c>
      <c r="H787" s="532">
        <v>3012792</v>
      </c>
      <c r="J787" s="488" t="s">
        <v>2366</v>
      </c>
    </row>
    <row r="788" spans="1:10" x14ac:dyDescent="0.25">
      <c r="A788" s="321" t="s">
        <v>2291</v>
      </c>
      <c r="B788" s="323" t="s">
        <v>0</v>
      </c>
      <c r="C788" s="335" t="s">
        <v>238</v>
      </c>
      <c r="D788" s="392" t="s">
        <v>2375</v>
      </c>
      <c r="E788" s="383">
        <v>41</v>
      </c>
      <c r="F788" s="314" t="s">
        <v>2411</v>
      </c>
      <c r="G788" s="399">
        <v>76.150000000000006</v>
      </c>
      <c r="H788" s="532">
        <v>3012828</v>
      </c>
      <c r="J788" s="488" t="s">
        <v>2368</v>
      </c>
    </row>
    <row r="789" spans="1:10" x14ac:dyDescent="0.25">
      <c r="A789" s="321" t="s">
        <v>2291</v>
      </c>
      <c r="B789" s="323" t="s">
        <v>0</v>
      </c>
      <c r="C789" s="335" t="s">
        <v>238</v>
      </c>
      <c r="D789" s="392" t="s">
        <v>2376</v>
      </c>
      <c r="E789" s="387">
        <v>350334</v>
      </c>
      <c r="F789" s="314" t="s">
        <v>2412</v>
      </c>
      <c r="G789" s="399">
        <v>76.2</v>
      </c>
      <c r="H789" s="532">
        <v>3005813</v>
      </c>
      <c r="J789" s="488" t="s">
        <v>2369</v>
      </c>
    </row>
    <row r="790" spans="1:10" x14ac:dyDescent="0.25">
      <c r="A790" s="321" t="s">
        <v>2291</v>
      </c>
      <c r="B790" s="323" t="s">
        <v>0</v>
      </c>
      <c r="C790" s="335" t="s">
        <v>238</v>
      </c>
      <c r="D790" s="392" t="s">
        <v>1893</v>
      </c>
      <c r="E790" s="426">
        <v>350450</v>
      </c>
      <c r="F790" s="553" t="s">
        <v>2413</v>
      </c>
      <c r="G790" s="399">
        <v>80.95</v>
      </c>
      <c r="H790" s="532">
        <v>2977435</v>
      </c>
      <c r="J790" s="488" t="s">
        <v>2370</v>
      </c>
    </row>
    <row r="791" spans="1:10" x14ac:dyDescent="0.25">
      <c r="A791" s="321" t="s">
        <v>2291</v>
      </c>
      <c r="B791" s="323" t="s">
        <v>0</v>
      </c>
      <c r="C791" s="335" t="s">
        <v>238</v>
      </c>
      <c r="D791" s="392" t="s">
        <v>2377</v>
      </c>
      <c r="E791" s="426">
        <v>226632</v>
      </c>
      <c r="F791" s="553" t="s">
        <v>2414</v>
      </c>
      <c r="G791" s="399">
        <v>89.95</v>
      </c>
      <c r="H791" s="532">
        <v>3007556</v>
      </c>
      <c r="J791" s="488" t="s">
        <v>2371</v>
      </c>
    </row>
    <row r="792" spans="1:10" x14ac:dyDescent="0.25">
      <c r="A792" s="321" t="s">
        <v>2291</v>
      </c>
      <c r="B792" s="323" t="s">
        <v>0</v>
      </c>
      <c r="C792" s="335" t="s">
        <v>238</v>
      </c>
      <c r="D792" s="392" t="s">
        <v>2378</v>
      </c>
      <c r="E792" s="426">
        <v>351324</v>
      </c>
      <c r="F792" s="553" t="s">
        <v>2415</v>
      </c>
      <c r="G792" s="399">
        <v>82.78</v>
      </c>
      <c r="H792" s="532">
        <v>3012954</v>
      </c>
      <c r="J792" s="488" t="s">
        <v>2372</v>
      </c>
    </row>
    <row r="793" spans="1:10" x14ac:dyDescent="0.25">
      <c r="A793" s="321" t="s">
        <v>2291</v>
      </c>
      <c r="B793" s="323" t="s">
        <v>0</v>
      </c>
      <c r="C793" s="335" t="s">
        <v>238</v>
      </c>
      <c r="D793" s="392" t="s">
        <v>2379</v>
      </c>
      <c r="E793" s="426">
        <v>222617</v>
      </c>
      <c r="F793" s="553" t="s">
        <v>2416</v>
      </c>
      <c r="G793" s="399">
        <v>92.9</v>
      </c>
      <c r="H793" s="532">
        <v>2996330</v>
      </c>
      <c r="J793" s="488" t="s">
        <v>2373</v>
      </c>
    </row>
    <row r="794" spans="1:10" x14ac:dyDescent="0.25">
      <c r="A794" s="321" t="s">
        <v>2291</v>
      </c>
      <c r="B794" s="323" t="s">
        <v>0</v>
      </c>
      <c r="C794" s="335" t="s">
        <v>238</v>
      </c>
      <c r="D794" s="392" t="s">
        <v>2380</v>
      </c>
      <c r="E794" s="426">
        <v>353334</v>
      </c>
      <c r="F794" s="553"/>
      <c r="G794" s="399">
        <v>96.13</v>
      </c>
      <c r="H794" s="532"/>
      <c r="J794" s="488" t="s">
        <v>2374</v>
      </c>
    </row>
    <row r="795" spans="1:10" x14ac:dyDescent="0.25">
      <c r="A795" s="321" t="s">
        <v>2291</v>
      </c>
      <c r="B795" s="323" t="s">
        <v>0</v>
      </c>
      <c r="C795" s="335" t="s">
        <v>238</v>
      </c>
      <c r="D795" s="392" t="s">
        <v>2381</v>
      </c>
      <c r="E795" s="426">
        <v>352903</v>
      </c>
      <c r="F795" s="553"/>
      <c r="G795" s="399">
        <v>97.35</v>
      </c>
      <c r="H795" s="532"/>
      <c r="J795" s="488" t="s">
        <v>2374</v>
      </c>
    </row>
    <row r="796" spans="1:10" x14ac:dyDescent="0.25">
      <c r="A796" s="321" t="s">
        <v>2291</v>
      </c>
      <c r="B796" s="323" t="s">
        <v>0</v>
      </c>
      <c r="C796" s="335" t="s">
        <v>238</v>
      </c>
      <c r="D796" s="392" t="s">
        <v>2252</v>
      </c>
      <c r="E796" s="426">
        <v>215141</v>
      </c>
      <c r="F796" s="553" t="s">
        <v>2417</v>
      </c>
      <c r="G796" s="399">
        <v>47.75</v>
      </c>
      <c r="H796" s="532">
        <v>3012775</v>
      </c>
      <c r="J796" s="488" t="s">
        <v>2386</v>
      </c>
    </row>
    <row r="797" spans="1:10" x14ac:dyDescent="0.25">
      <c r="A797" s="321" t="s">
        <v>2291</v>
      </c>
      <c r="B797" s="323" t="s">
        <v>0</v>
      </c>
      <c r="C797" s="335" t="s">
        <v>238</v>
      </c>
      <c r="D797" s="392" t="s">
        <v>2252</v>
      </c>
      <c r="E797" s="426">
        <v>215141</v>
      </c>
      <c r="F797" s="553" t="s">
        <v>2418</v>
      </c>
      <c r="G797" s="399">
        <v>57.65</v>
      </c>
      <c r="H797" s="532">
        <v>3003333</v>
      </c>
      <c r="J797" s="488" t="s">
        <v>2386</v>
      </c>
    </row>
    <row r="798" spans="1:10" x14ac:dyDescent="0.25">
      <c r="A798" s="321" t="s">
        <v>2291</v>
      </c>
      <c r="B798" s="323" t="s">
        <v>0</v>
      </c>
      <c r="C798" s="335" t="s">
        <v>238</v>
      </c>
      <c r="D798" s="392" t="s">
        <v>2217</v>
      </c>
      <c r="E798" s="426">
        <v>351753</v>
      </c>
      <c r="F798" s="553" t="s">
        <v>2419</v>
      </c>
      <c r="G798" s="399">
        <v>107.05</v>
      </c>
      <c r="H798" s="532">
        <v>3013930</v>
      </c>
      <c r="J798" s="488" t="s">
        <v>2387</v>
      </c>
    </row>
    <row r="799" spans="1:10" x14ac:dyDescent="0.25">
      <c r="A799" s="321" t="s">
        <v>2291</v>
      </c>
      <c r="B799" s="323" t="s">
        <v>0</v>
      </c>
      <c r="C799" s="335" t="s">
        <v>238</v>
      </c>
      <c r="D799" s="392" t="s">
        <v>2023</v>
      </c>
      <c r="E799" s="426">
        <v>353024</v>
      </c>
      <c r="F799" s="553"/>
      <c r="G799" s="399">
        <v>111.3</v>
      </c>
      <c r="H799" s="532"/>
      <c r="J799" s="488" t="s">
        <v>2374</v>
      </c>
    </row>
    <row r="800" spans="1:10" x14ac:dyDescent="0.25">
      <c r="A800" s="321" t="s">
        <v>2291</v>
      </c>
      <c r="B800" s="323" t="s">
        <v>0</v>
      </c>
      <c r="C800" s="335" t="s">
        <v>238</v>
      </c>
      <c r="D800" s="392" t="s">
        <v>2382</v>
      </c>
      <c r="E800" s="426">
        <v>350251</v>
      </c>
      <c r="F800" s="553" t="s">
        <v>2420</v>
      </c>
      <c r="G800" s="399">
        <v>51.57</v>
      </c>
      <c r="H800" s="532">
        <v>3012830</v>
      </c>
      <c r="J800" s="488" t="s">
        <v>2388</v>
      </c>
    </row>
    <row r="801" spans="1:19" x14ac:dyDescent="0.25">
      <c r="A801" s="321" t="s">
        <v>2291</v>
      </c>
      <c r="B801" s="323" t="s">
        <v>0</v>
      </c>
      <c r="C801" s="335" t="s">
        <v>238</v>
      </c>
      <c r="D801" s="392" t="s">
        <v>2382</v>
      </c>
      <c r="E801" s="426">
        <v>350251</v>
      </c>
      <c r="F801" s="553" t="s">
        <v>2421</v>
      </c>
      <c r="G801" s="399">
        <v>64.56</v>
      </c>
      <c r="H801" s="532">
        <v>3008222</v>
      </c>
      <c r="J801" s="488" t="s">
        <v>2388</v>
      </c>
    </row>
    <row r="802" spans="1:19" x14ac:dyDescent="0.25">
      <c r="A802" s="321" t="s">
        <v>2291</v>
      </c>
      <c r="B802" s="323" t="s">
        <v>0</v>
      </c>
      <c r="C802" s="335" t="s">
        <v>238</v>
      </c>
      <c r="D802" s="392" t="s">
        <v>2383</v>
      </c>
      <c r="E802" s="426">
        <v>352472</v>
      </c>
      <c r="F802" s="553" t="s">
        <v>2422</v>
      </c>
      <c r="G802" s="399">
        <v>122.05</v>
      </c>
      <c r="H802" s="532">
        <v>3012819</v>
      </c>
      <c r="J802" s="488" t="s">
        <v>2389</v>
      </c>
    </row>
    <row r="803" spans="1:19" x14ac:dyDescent="0.25">
      <c r="A803" s="321" t="s">
        <v>2291</v>
      </c>
      <c r="B803" s="323" t="s">
        <v>0</v>
      </c>
      <c r="C803" s="323" t="s">
        <v>2439</v>
      </c>
      <c r="D803" s="392" t="s">
        <v>2384</v>
      </c>
      <c r="E803" s="426">
        <v>350847</v>
      </c>
      <c r="F803" s="553" t="s">
        <v>2423</v>
      </c>
      <c r="G803" s="399">
        <v>123.97</v>
      </c>
      <c r="H803" s="532">
        <v>3013472</v>
      </c>
      <c r="J803" s="488" t="s">
        <v>2390</v>
      </c>
    </row>
    <row r="804" spans="1:19" x14ac:dyDescent="0.25">
      <c r="A804" s="321" t="s">
        <v>2291</v>
      </c>
      <c r="B804" s="323" t="s">
        <v>0</v>
      </c>
      <c r="C804" s="335" t="s">
        <v>238</v>
      </c>
      <c r="D804" s="392" t="s">
        <v>2385</v>
      </c>
      <c r="E804" s="426">
        <v>350335</v>
      </c>
      <c r="F804" s="553" t="s">
        <v>2424</v>
      </c>
      <c r="G804" s="399">
        <v>124.5</v>
      </c>
      <c r="H804" s="532">
        <v>2989747</v>
      </c>
      <c r="J804" s="488" t="s">
        <v>2391</v>
      </c>
    </row>
    <row r="805" spans="1:19" x14ac:dyDescent="0.25">
      <c r="A805" s="321" t="s">
        <v>2291</v>
      </c>
      <c r="B805" s="323" t="s">
        <v>0</v>
      </c>
      <c r="C805" s="335" t="s">
        <v>238</v>
      </c>
      <c r="D805" s="392" t="s">
        <v>239</v>
      </c>
      <c r="E805" s="426">
        <v>217848</v>
      </c>
      <c r="F805" s="553" t="s">
        <v>2425</v>
      </c>
      <c r="G805" s="399">
        <v>129.75</v>
      </c>
      <c r="H805" s="532">
        <v>3010376</v>
      </c>
      <c r="J805" s="488" t="s">
        <v>2392</v>
      </c>
    </row>
    <row r="806" spans="1:19" x14ac:dyDescent="0.25">
      <c r="A806" s="321" t="s">
        <v>2291</v>
      </c>
      <c r="B806" s="323" t="s">
        <v>0</v>
      </c>
      <c r="C806" s="335" t="s">
        <v>238</v>
      </c>
      <c r="D806" s="392" t="s">
        <v>271</v>
      </c>
      <c r="E806" s="426">
        <v>1082</v>
      </c>
      <c r="F806" s="553" t="s">
        <v>2426</v>
      </c>
      <c r="G806" s="399">
        <v>98.91</v>
      </c>
      <c r="H806" s="532">
        <v>2997483</v>
      </c>
      <c r="J806" s="488" t="s">
        <v>2393</v>
      </c>
    </row>
    <row r="807" spans="1:19" x14ac:dyDescent="0.25">
      <c r="A807" s="321" t="s">
        <v>2291</v>
      </c>
      <c r="B807" s="323" t="s">
        <v>0</v>
      </c>
      <c r="C807" s="335" t="s">
        <v>238</v>
      </c>
      <c r="D807" s="392" t="s">
        <v>271</v>
      </c>
      <c r="E807" s="426">
        <v>1082</v>
      </c>
      <c r="F807" s="553" t="s">
        <v>2427</v>
      </c>
      <c r="G807" s="399">
        <v>52.15</v>
      </c>
      <c r="H807" s="532">
        <v>3012119</v>
      </c>
      <c r="J807" s="488" t="s">
        <v>2393</v>
      </c>
    </row>
    <row r="808" spans="1:19" x14ac:dyDescent="0.25">
      <c r="A808" s="321" t="s">
        <v>2291</v>
      </c>
      <c r="B808" s="323" t="s">
        <v>0</v>
      </c>
      <c r="C808" s="335" t="s">
        <v>238</v>
      </c>
      <c r="D808" s="392" t="s">
        <v>2396</v>
      </c>
      <c r="E808" s="426">
        <v>350457</v>
      </c>
      <c r="F808" s="553" t="s">
        <v>2428</v>
      </c>
      <c r="G808" s="399">
        <v>196.85</v>
      </c>
      <c r="H808" s="532">
        <v>3006013</v>
      </c>
      <c r="J808" s="488" t="s">
        <v>2394</v>
      </c>
    </row>
    <row r="809" spans="1:19" x14ac:dyDescent="0.25">
      <c r="A809" s="321" t="s">
        <v>2291</v>
      </c>
      <c r="B809" s="323" t="s">
        <v>0</v>
      </c>
      <c r="C809" s="335" t="s">
        <v>238</v>
      </c>
      <c r="D809" s="392" t="s">
        <v>2397</v>
      </c>
      <c r="E809" s="426">
        <v>353027</v>
      </c>
      <c r="F809" s="553"/>
      <c r="G809" s="399">
        <v>209.63</v>
      </c>
      <c r="H809" s="532"/>
      <c r="J809" s="488" t="s">
        <v>2374</v>
      </c>
    </row>
    <row r="810" spans="1:19" x14ac:dyDescent="0.25">
      <c r="A810" s="321" t="s">
        <v>2291</v>
      </c>
      <c r="B810" s="323" t="s">
        <v>0</v>
      </c>
      <c r="C810" s="335" t="s">
        <v>238</v>
      </c>
      <c r="D810" s="392" t="s">
        <v>1459</v>
      </c>
      <c r="E810" s="426">
        <v>211617</v>
      </c>
      <c r="F810" s="553" t="s">
        <v>2429</v>
      </c>
      <c r="G810" s="399">
        <v>81.95</v>
      </c>
      <c r="H810" s="532">
        <v>3012842</v>
      </c>
      <c r="J810" s="488" t="s">
        <v>2395</v>
      </c>
    </row>
    <row r="811" spans="1:19" x14ac:dyDescent="0.25">
      <c r="A811" s="321" t="s">
        <v>2291</v>
      </c>
      <c r="B811" s="323" t="s">
        <v>0</v>
      </c>
      <c r="C811" s="335" t="s">
        <v>238</v>
      </c>
      <c r="D811" s="392" t="s">
        <v>1459</v>
      </c>
      <c r="E811" s="426">
        <v>211617</v>
      </c>
      <c r="F811" s="553" t="s">
        <v>2430</v>
      </c>
      <c r="G811" s="399">
        <v>58.9</v>
      </c>
      <c r="H811" s="532">
        <v>3012936</v>
      </c>
      <c r="J811" s="488" t="s">
        <v>2395</v>
      </c>
    </row>
    <row r="812" spans="1:19" x14ac:dyDescent="0.25">
      <c r="A812" s="321" t="s">
        <v>2291</v>
      </c>
      <c r="B812" s="323" t="s">
        <v>0</v>
      </c>
      <c r="C812" s="335" t="s">
        <v>238</v>
      </c>
      <c r="D812" s="392" t="s">
        <v>1459</v>
      </c>
      <c r="E812" s="426">
        <v>211617</v>
      </c>
      <c r="F812" s="553" t="s">
        <v>2431</v>
      </c>
      <c r="G812" s="399">
        <v>81.05</v>
      </c>
      <c r="H812" s="532">
        <v>3012664</v>
      </c>
      <c r="J812" s="488" t="s">
        <v>2395</v>
      </c>
    </row>
    <row r="813" spans="1:19" s="409" customFormat="1" x14ac:dyDescent="0.25">
      <c r="A813" s="368">
        <v>42842.114861111113</v>
      </c>
      <c r="B813" s="327" t="s">
        <v>127</v>
      </c>
      <c r="C813" s="327"/>
      <c r="D813" s="581" t="s">
        <v>181</v>
      </c>
      <c r="E813" s="426">
        <v>351215</v>
      </c>
      <c r="F813" s="383"/>
      <c r="G813" s="578">
        <v>76.06</v>
      </c>
      <c r="H813" s="426">
        <v>3009997</v>
      </c>
      <c r="I813" s="328"/>
      <c r="J813" s="579" t="s">
        <v>182</v>
      </c>
      <c r="K813" s="328"/>
      <c r="L813" s="328"/>
      <c r="M813" s="328"/>
      <c r="N813" s="328"/>
      <c r="O813" s="328"/>
      <c r="P813" s="328"/>
      <c r="Q813" s="328"/>
      <c r="R813" s="328"/>
      <c r="S813" s="328"/>
    </row>
    <row r="814" spans="1:19" s="409" customFormat="1" x14ac:dyDescent="0.25">
      <c r="A814" s="368">
        <v>42843.062071759261</v>
      </c>
      <c r="B814" s="327" t="s">
        <v>127</v>
      </c>
      <c r="C814" s="327"/>
      <c r="D814" s="581" t="s">
        <v>181</v>
      </c>
      <c r="E814" s="426">
        <v>351215</v>
      </c>
      <c r="F814" s="383"/>
      <c r="G814" s="578">
        <v>124</v>
      </c>
      <c r="H814" s="426">
        <v>3018452</v>
      </c>
      <c r="I814" s="328"/>
      <c r="J814" s="579" t="s">
        <v>182</v>
      </c>
      <c r="K814" s="328"/>
      <c r="L814" s="328"/>
      <c r="M814" s="328"/>
      <c r="N814" s="328"/>
      <c r="O814" s="328"/>
      <c r="P814" s="328"/>
      <c r="Q814" s="328"/>
      <c r="R814" s="328"/>
      <c r="S814" s="328"/>
    </row>
    <row r="815" spans="1:19" s="409" customFormat="1" x14ac:dyDescent="0.25">
      <c r="A815" s="368">
        <v>42844.222013888888</v>
      </c>
      <c r="B815" s="327" t="s">
        <v>127</v>
      </c>
      <c r="C815" s="327"/>
      <c r="D815" s="581" t="s">
        <v>181</v>
      </c>
      <c r="E815" s="426">
        <v>351215</v>
      </c>
      <c r="F815" s="383"/>
      <c r="G815" s="578">
        <v>54.89</v>
      </c>
      <c r="H815" s="426">
        <v>3026859</v>
      </c>
      <c r="I815" s="328"/>
      <c r="J815" s="579" t="s">
        <v>182</v>
      </c>
      <c r="K815" s="328"/>
      <c r="L815" s="328"/>
      <c r="M815" s="328"/>
      <c r="N815" s="328"/>
      <c r="O815" s="328"/>
      <c r="P815" s="328"/>
      <c r="Q815" s="328"/>
      <c r="R815" s="328"/>
      <c r="S815" s="328"/>
    </row>
    <row r="816" spans="1:19" s="409" customFormat="1" x14ac:dyDescent="0.25">
      <c r="A816" s="368">
        <v>42844.42732638889</v>
      </c>
      <c r="B816" s="327" t="s">
        <v>127</v>
      </c>
      <c r="C816" s="327"/>
      <c r="D816" s="581" t="s">
        <v>181</v>
      </c>
      <c r="E816" s="426">
        <v>351215</v>
      </c>
      <c r="F816" s="383"/>
      <c r="G816" s="578">
        <v>97.47</v>
      </c>
      <c r="H816" s="426">
        <v>3025902</v>
      </c>
      <c r="I816" s="328"/>
      <c r="J816" s="579" t="s">
        <v>182</v>
      </c>
      <c r="K816" s="328"/>
      <c r="L816" s="328"/>
      <c r="M816" s="328"/>
      <c r="N816" s="328"/>
      <c r="O816" s="328"/>
      <c r="P816" s="328"/>
      <c r="Q816" s="328"/>
      <c r="R816" s="328"/>
      <c r="S816" s="328"/>
    </row>
    <row r="817" spans="1:19" s="409" customFormat="1" x14ac:dyDescent="0.25">
      <c r="A817" s="368">
        <v>42845</v>
      </c>
      <c r="B817" s="327" t="s">
        <v>127</v>
      </c>
      <c r="C817" s="584" t="s">
        <v>1997</v>
      </c>
      <c r="D817" s="580" t="s">
        <v>2433</v>
      </c>
      <c r="E817" s="426">
        <v>352400</v>
      </c>
      <c r="F817" s="383"/>
      <c r="G817" s="578">
        <f>11.5+3328.45</f>
        <v>3339.95</v>
      </c>
      <c r="H817" s="426">
        <v>3034102</v>
      </c>
      <c r="I817" s="328"/>
      <c r="J817" s="327" t="s">
        <v>2517</v>
      </c>
      <c r="K817" s="328"/>
      <c r="L817" s="328"/>
      <c r="M817" s="328"/>
      <c r="N817" s="328"/>
      <c r="O817" s="328"/>
      <c r="P817" s="328"/>
      <c r="Q817" s="328"/>
      <c r="R817" s="328"/>
      <c r="S817" s="328"/>
    </row>
    <row r="818" spans="1:19" s="409" customFormat="1" x14ac:dyDescent="0.25">
      <c r="A818" s="368">
        <v>42845</v>
      </c>
      <c r="B818" s="327" t="s">
        <v>127</v>
      </c>
      <c r="C818" s="584" t="s">
        <v>1997</v>
      </c>
      <c r="D818" s="580" t="s">
        <v>2433</v>
      </c>
      <c r="E818" s="426">
        <v>352400</v>
      </c>
      <c r="F818" s="383"/>
      <c r="G818" s="578">
        <f>12.65+3660.8</f>
        <v>3673.4500000000003</v>
      </c>
      <c r="H818" s="426">
        <v>3034144</v>
      </c>
      <c r="I818" s="328"/>
      <c r="J818" s="327" t="s">
        <v>2517</v>
      </c>
      <c r="K818" s="328"/>
      <c r="L818" s="328"/>
      <c r="M818" s="328"/>
      <c r="N818" s="328"/>
      <c r="O818" s="328"/>
      <c r="P818" s="328"/>
      <c r="Q818" s="328"/>
      <c r="R818" s="328"/>
      <c r="S818" s="328"/>
    </row>
    <row r="819" spans="1:19" s="409" customFormat="1" x14ac:dyDescent="0.25">
      <c r="A819" s="368">
        <v>42845</v>
      </c>
      <c r="B819" s="327" t="s">
        <v>127</v>
      </c>
      <c r="C819" s="584" t="s">
        <v>1997</v>
      </c>
      <c r="D819" s="580" t="s">
        <v>216</v>
      </c>
      <c r="E819" s="426">
        <v>350875</v>
      </c>
      <c r="F819" s="383"/>
      <c r="G819" s="578">
        <f>44.02+96.91</f>
        <v>140.93</v>
      </c>
      <c r="H819" s="426">
        <v>3025952</v>
      </c>
      <c r="I819" s="328"/>
      <c r="J819" s="327" t="s">
        <v>2434</v>
      </c>
      <c r="K819" s="328"/>
      <c r="L819" s="328"/>
      <c r="M819" s="328"/>
      <c r="N819" s="328"/>
      <c r="O819" s="328"/>
      <c r="P819" s="328"/>
      <c r="Q819" s="328"/>
      <c r="R819" s="328"/>
      <c r="S819" s="328"/>
    </row>
    <row r="820" spans="1:19" s="409" customFormat="1" x14ac:dyDescent="0.25">
      <c r="A820" s="368">
        <v>42846</v>
      </c>
      <c r="B820" s="327" t="s">
        <v>127</v>
      </c>
      <c r="C820" s="584" t="s">
        <v>1997</v>
      </c>
      <c r="D820" s="580" t="s">
        <v>216</v>
      </c>
      <c r="E820" s="426">
        <v>350875</v>
      </c>
      <c r="F820" s="383"/>
      <c r="G820" s="578">
        <f>36.83+79.72</f>
        <v>116.55</v>
      </c>
      <c r="H820" s="426">
        <v>3038095</v>
      </c>
      <c r="I820" s="328"/>
      <c r="J820" s="327" t="s">
        <v>2434</v>
      </c>
      <c r="K820" s="328"/>
      <c r="L820" s="328"/>
      <c r="M820" s="328"/>
      <c r="N820" s="328"/>
      <c r="O820" s="328"/>
      <c r="P820" s="328"/>
      <c r="Q820" s="328"/>
      <c r="R820" s="328"/>
      <c r="S820" s="328"/>
    </row>
    <row r="821" spans="1:19" s="409" customFormat="1" x14ac:dyDescent="0.25">
      <c r="A821" s="368">
        <v>42846</v>
      </c>
      <c r="B821" s="327" t="s">
        <v>127</v>
      </c>
      <c r="C821" s="584" t="s">
        <v>1997</v>
      </c>
      <c r="D821" s="580" t="s">
        <v>216</v>
      </c>
      <c r="E821" s="426">
        <v>350875</v>
      </c>
      <c r="F821" s="383"/>
      <c r="G821" s="578">
        <f>21.09+39.28</f>
        <v>60.370000000000005</v>
      </c>
      <c r="H821" s="426">
        <v>3038461</v>
      </c>
      <c r="I821" s="328"/>
      <c r="J821" s="327" t="s">
        <v>2434</v>
      </c>
      <c r="K821" s="328"/>
      <c r="L821" s="328"/>
      <c r="M821" s="328"/>
      <c r="N821" s="328"/>
      <c r="O821" s="328"/>
      <c r="P821" s="328"/>
      <c r="Q821" s="328"/>
      <c r="R821" s="328"/>
      <c r="S821" s="328"/>
    </row>
    <row r="822" spans="1:19" s="409" customFormat="1" x14ac:dyDescent="0.25">
      <c r="A822" s="368">
        <v>42846</v>
      </c>
      <c r="B822" s="327" t="s">
        <v>127</v>
      </c>
      <c r="C822" s="584" t="s">
        <v>1997</v>
      </c>
      <c r="D822" s="580" t="s">
        <v>192</v>
      </c>
      <c r="E822" s="387">
        <v>223720</v>
      </c>
      <c r="F822" s="383"/>
      <c r="G822" s="578">
        <f>8.21+62.52</f>
        <v>70.73</v>
      </c>
      <c r="H822" s="426">
        <v>3035814</v>
      </c>
      <c r="I822" s="328"/>
      <c r="J822" s="327" t="s">
        <v>2517</v>
      </c>
      <c r="K822" s="328"/>
      <c r="L822" s="328"/>
      <c r="M822" s="328"/>
      <c r="N822" s="328"/>
      <c r="O822" s="328"/>
      <c r="P822" s="328"/>
      <c r="Q822" s="328"/>
      <c r="R822" s="328"/>
      <c r="S822" s="328"/>
    </row>
    <row r="823" spans="1:19" s="409" customFormat="1" x14ac:dyDescent="0.25">
      <c r="A823" s="368">
        <v>42842</v>
      </c>
      <c r="B823" s="327" t="s">
        <v>127</v>
      </c>
      <c r="C823" s="584" t="s">
        <v>1997</v>
      </c>
      <c r="D823" s="580" t="s">
        <v>214</v>
      </c>
      <c r="E823" s="387">
        <v>351307</v>
      </c>
      <c r="F823" s="383"/>
      <c r="G823" s="578">
        <f>9.91+57.04</f>
        <v>66.95</v>
      </c>
      <c r="H823" s="426">
        <v>3018284</v>
      </c>
      <c r="I823" s="328"/>
      <c r="J823" s="327" t="s">
        <v>2435</v>
      </c>
      <c r="K823" s="328"/>
      <c r="L823" s="328"/>
      <c r="M823" s="328"/>
      <c r="N823" s="328"/>
      <c r="O823" s="328"/>
      <c r="P823" s="328"/>
      <c r="Q823" s="328"/>
      <c r="R823" s="328"/>
      <c r="S823" s="328"/>
    </row>
    <row r="824" spans="1:19" s="409" customFormat="1" x14ac:dyDescent="0.25">
      <c r="A824" s="368">
        <v>42842</v>
      </c>
      <c r="B824" s="327" t="s">
        <v>127</v>
      </c>
      <c r="C824" s="584" t="s">
        <v>1997</v>
      </c>
      <c r="D824" s="580" t="s">
        <v>214</v>
      </c>
      <c r="E824" s="387">
        <v>351307</v>
      </c>
      <c r="F824" s="383"/>
      <c r="G824" s="578">
        <f>13.64+44.68</f>
        <v>58.32</v>
      </c>
      <c r="H824" s="426">
        <v>3020157</v>
      </c>
      <c r="I824" s="328"/>
      <c r="J824" s="327" t="s">
        <v>2435</v>
      </c>
      <c r="K824" s="328"/>
      <c r="L824" s="328"/>
      <c r="M824" s="328"/>
      <c r="N824" s="328"/>
      <c r="O824" s="328"/>
      <c r="P824" s="328"/>
      <c r="Q824" s="328"/>
      <c r="R824" s="328"/>
      <c r="S824" s="328"/>
    </row>
    <row r="825" spans="1:19" s="409" customFormat="1" x14ac:dyDescent="0.25">
      <c r="A825" s="368">
        <v>42846</v>
      </c>
      <c r="B825" s="327" t="s">
        <v>127</v>
      </c>
      <c r="C825" s="584" t="s">
        <v>1997</v>
      </c>
      <c r="D825" s="580" t="s">
        <v>214</v>
      </c>
      <c r="E825" s="387">
        <v>351307</v>
      </c>
      <c r="F825" s="383"/>
      <c r="G825" s="578">
        <f>8.31+105.54</f>
        <v>113.85000000000001</v>
      </c>
      <c r="H825" s="426">
        <v>3030094</v>
      </c>
      <c r="I825" s="328"/>
      <c r="J825" s="327" t="s">
        <v>2435</v>
      </c>
      <c r="K825" s="328"/>
      <c r="L825" s="328"/>
      <c r="M825" s="328"/>
      <c r="N825" s="328"/>
      <c r="O825" s="328"/>
      <c r="P825" s="328"/>
      <c r="Q825" s="328"/>
      <c r="R825" s="328"/>
      <c r="S825" s="328"/>
    </row>
    <row r="826" spans="1:19" x14ac:dyDescent="0.25">
      <c r="A826" s="321" t="s">
        <v>2432</v>
      </c>
      <c r="B826" s="323" t="s">
        <v>0</v>
      </c>
      <c r="C826" s="323" t="s">
        <v>2440</v>
      </c>
      <c r="D826" s="392" t="s">
        <v>2384</v>
      </c>
      <c r="E826" s="387">
        <v>350847</v>
      </c>
      <c r="F826" s="553" t="s">
        <v>2423</v>
      </c>
      <c r="G826" s="399">
        <v>-123.97</v>
      </c>
      <c r="H826" s="532">
        <v>3013472</v>
      </c>
      <c r="J826" s="323" t="s">
        <v>2436</v>
      </c>
    </row>
    <row r="827" spans="1:19" x14ac:dyDescent="0.25">
      <c r="A827" s="321" t="s">
        <v>2432</v>
      </c>
      <c r="B827" s="323" t="s">
        <v>0</v>
      </c>
      <c r="C827" s="323" t="s">
        <v>2440</v>
      </c>
      <c r="D827" s="392" t="s">
        <v>2348</v>
      </c>
      <c r="E827" s="387">
        <v>352657</v>
      </c>
      <c r="F827" s="553" t="s">
        <v>2398</v>
      </c>
      <c r="G827" s="399">
        <v>-52.95</v>
      </c>
      <c r="H827" s="532">
        <v>3014185</v>
      </c>
      <c r="J827" s="323" t="s">
        <v>2437</v>
      </c>
    </row>
    <row r="828" spans="1:19" x14ac:dyDescent="0.25">
      <c r="A828" s="321" t="s">
        <v>2432</v>
      </c>
      <c r="B828" s="323" t="s">
        <v>0</v>
      </c>
      <c r="C828" s="323" t="s">
        <v>2440</v>
      </c>
      <c r="D828" s="392" t="s">
        <v>2319</v>
      </c>
      <c r="E828" s="387">
        <v>226863</v>
      </c>
      <c r="F828" s="553" t="s">
        <v>2317</v>
      </c>
      <c r="G828" s="399">
        <v>-36.159999999999997</v>
      </c>
      <c r="H828" s="532">
        <v>3009950</v>
      </c>
      <c r="J828" s="323" t="s">
        <v>2438</v>
      </c>
    </row>
    <row r="829" spans="1:19" x14ac:dyDescent="0.25">
      <c r="A829" s="321" t="s">
        <v>2432</v>
      </c>
      <c r="B829" s="323" t="s">
        <v>0</v>
      </c>
      <c r="C829" s="335" t="s">
        <v>238</v>
      </c>
      <c r="D829" s="392" t="s">
        <v>2443</v>
      </c>
      <c r="E829" s="387">
        <v>226388</v>
      </c>
      <c r="F829" s="553" t="s">
        <v>2442</v>
      </c>
      <c r="G829" s="399">
        <v>17.100000000000001</v>
      </c>
      <c r="H829" s="532">
        <v>3035171</v>
      </c>
      <c r="J829" s="323" t="s">
        <v>2441</v>
      </c>
    </row>
    <row r="830" spans="1:19" x14ac:dyDescent="0.25">
      <c r="A830" s="321" t="s">
        <v>2432</v>
      </c>
      <c r="B830" s="323" t="s">
        <v>0</v>
      </c>
      <c r="C830" s="335" t="s">
        <v>238</v>
      </c>
      <c r="D830" s="392" t="s">
        <v>271</v>
      </c>
      <c r="E830" s="387">
        <v>1082</v>
      </c>
      <c r="F830" s="553" t="s">
        <v>2447</v>
      </c>
      <c r="G830" s="399">
        <v>24.96</v>
      </c>
      <c r="H830" s="532">
        <v>3028335</v>
      </c>
      <c r="J830" s="323" t="s">
        <v>2444</v>
      </c>
    </row>
    <row r="831" spans="1:19" x14ac:dyDescent="0.25">
      <c r="A831" s="321" t="s">
        <v>2432</v>
      </c>
      <c r="B831" s="323" t="s">
        <v>0</v>
      </c>
      <c r="C831" s="335" t="s">
        <v>238</v>
      </c>
      <c r="D831" s="392" t="s">
        <v>2153</v>
      </c>
      <c r="E831" s="387">
        <v>351194</v>
      </c>
      <c r="F831" s="553" t="s">
        <v>2448</v>
      </c>
      <c r="G831" s="399">
        <v>26.46</v>
      </c>
      <c r="H831" s="532">
        <v>3015493</v>
      </c>
      <c r="J831" s="323" t="s">
        <v>2445</v>
      </c>
    </row>
    <row r="832" spans="1:19" x14ac:dyDescent="0.25">
      <c r="A832" s="321" t="s">
        <v>2432</v>
      </c>
      <c r="B832" s="323" t="s">
        <v>0</v>
      </c>
      <c r="C832" s="335" t="s">
        <v>238</v>
      </c>
      <c r="D832" s="392" t="s">
        <v>2168</v>
      </c>
      <c r="E832" s="387">
        <v>211552</v>
      </c>
      <c r="F832" s="553" t="s">
        <v>2449</v>
      </c>
      <c r="G832" s="399">
        <v>30.24</v>
      </c>
      <c r="H832" s="532">
        <v>3032142</v>
      </c>
      <c r="J832" s="323" t="s">
        <v>2446</v>
      </c>
    </row>
    <row r="833" spans="1:10" x14ac:dyDescent="0.25">
      <c r="A833" s="321" t="s">
        <v>2432</v>
      </c>
      <c r="B833" s="323" t="s">
        <v>0</v>
      </c>
      <c r="C833" s="335" t="s">
        <v>238</v>
      </c>
      <c r="D833" s="392" t="s">
        <v>115</v>
      </c>
      <c r="E833" s="387">
        <v>351425</v>
      </c>
      <c r="F833" s="553" t="s">
        <v>2455</v>
      </c>
      <c r="G833" s="399">
        <v>36.9</v>
      </c>
      <c r="H833" s="532">
        <v>3033984</v>
      </c>
      <c r="J833" s="323" t="s">
        <v>2451</v>
      </c>
    </row>
    <row r="834" spans="1:10" x14ac:dyDescent="0.25">
      <c r="A834" s="321" t="s">
        <v>2432</v>
      </c>
      <c r="B834" s="323" t="s">
        <v>0</v>
      </c>
      <c r="C834" s="335" t="s">
        <v>238</v>
      </c>
      <c r="D834" s="392" t="s">
        <v>2093</v>
      </c>
      <c r="E834" s="387">
        <v>217319</v>
      </c>
      <c r="F834" s="553" t="s">
        <v>2456</v>
      </c>
      <c r="G834" s="399">
        <v>36.950000000000003</v>
      </c>
      <c r="H834" s="532">
        <v>3018036</v>
      </c>
      <c r="J834" s="323" t="s">
        <v>2452</v>
      </c>
    </row>
    <row r="835" spans="1:10" x14ac:dyDescent="0.25">
      <c r="A835" s="321" t="s">
        <v>2432</v>
      </c>
      <c r="B835" s="323" t="s">
        <v>0</v>
      </c>
      <c r="C835" s="335" t="s">
        <v>238</v>
      </c>
      <c r="D835" s="392" t="s">
        <v>1291</v>
      </c>
      <c r="E835" s="387">
        <v>351726</v>
      </c>
      <c r="F835" s="553" t="s">
        <v>2457</v>
      </c>
      <c r="G835" s="399">
        <v>41.33</v>
      </c>
      <c r="H835" s="532">
        <v>3022770</v>
      </c>
      <c r="J835" s="323" t="s">
        <v>2453</v>
      </c>
    </row>
    <row r="836" spans="1:10" x14ac:dyDescent="0.25">
      <c r="A836" s="321" t="s">
        <v>2432</v>
      </c>
      <c r="B836" s="323" t="s">
        <v>0</v>
      </c>
      <c r="C836" s="335" t="s">
        <v>238</v>
      </c>
      <c r="D836" s="392" t="s">
        <v>2450</v>
      </c>
      <c r="E836" s="387">
        <v>224428</v>
      </c>
      <c r="F836" s="553" t="s">
        <v>2458</v>
      </c>
      <c r="G836" s="399">
        <v>41.73</v>
      </c>
      <c r="H836" s="532">
        <v>3006271</v>
      </c>
      <c r="J836" s="323" t="s">
        <v>2454</v>
      </c>
    </row>
    <row r="837" spans="1:10" x14ac:dyDescent="0.25">
      <c r="A837" s="321" t="s">
        <v>2432</v>
      </c>
      <c r="B837" s="323" t="s">
        <v>0</v>
      </c>
      <c r="C837" s="335" t="s">
        <v>238</v>
      </c>
      <c r="D837" s="392" t="s">
        <v>2459</v>
      </c>
      <c r="E837" s="387">
        <v>351845</v>
      </c>
      <c r="F837" s="553" t="s">
        <v>2460</v>
      </c>
      <c r="G837" s="399">
        <v>44.95</v>
      </c>
      <c r="H837" s="532">
        <v>3021355</v>
      </c>
      <c r="J837" s="323" t="s">
        <v>2461</v>
      </c>
    </row>
    <row r="838" spans="1:10" x14ac:dyDescent="0.25">
      <c r="A838" s="321" t="s">
        <v>2432</v>
      </c>
      <c r="B838" s="323" t="s">
        <v>0</v>
      </c>
      <c r="C838" s="335" t="s">
        <v>238</v>
      </c>
      <c r="D838" s="392" t="s">
        <v>2466</v>
      </c>
      <c r="E838" s="387">
        <v>350527</v>
      </c>
      <c r="F838" s="553" t="s">
        <v>2469</v>
      </c>
      <c r="G838" s="399">
        <v>45.76</v>
      </c>
      <c r="H838" s="532"/>
      <c r="J838" s="323" t="s">
        <v>2462</v>
      </c>
    </row>
    <row r="839" spans="1:10" x14ac:dyDescent="0.25">
      <c r="A839" s="321" t="s">
        <v>2432</v>
      </c>
      <c r="B839" s="323" t="s">
        <v>0</v>
      </c>
      <c r="C839" s="335" t="s">
        <v>238</v>
      </c>
      <c r="D839" s="392" t="s">
        <v>2467</v>
      </c>
      <c r="E839" s="387">
        <v>353208</v>
      </c>
      <c r="F839" s="553"/>
      <c r="G839" s="399">
        <v>46.9</v>
      </c>
      <c r="H839" s="532"/>
      <c r="J839" s="323" t="s">
        <v>2374</v>
      </c>
    </row>
    <row r="840" spans="1:10" x14ac:dyDescent="0.25">
      <c r="A840" s="321" t="s">
        <v>2432</v>
      </c>
      <c r="B840" s="323" t="s">
        <v>0</v>
      </c>
      <c r="C840" s="335" t="s">
        <v>238</v>
      </c>
      <c r="D840" s="392" t="s">
        <v>1248</v>
      </c>
      <c r="E840" s="387">
        <v>222695</v>
      </c>
      <c r="F840" s="553" t="s">
        <v>2470</v>
      </c>
      <c r="G840" s="399">
        <v>47.58</v>
      </c>
      <c r="H840" s="532">
        <v>3034678</v>
      </c>
      <c r="J840" s="323" t="s">
        <v>2463</v>
      </c>
    </row>
    <row r="841" spans="1:10" x14ac:dyDescent="0.25">
      <c r="A841" s="321" t="s">
        <v>2432</v>
      </c>
      <c r="B841" s="323" t="s">
        <v>0</v>
      </c>
      <c r="C841" s="323" t="s">
        <v>2439</v>
      </c>
      <c r="D841" s="392" t="s">
        <v>2077</v>
      </c>
      <c r="E841" s="387">
        <v>352592</v>
      </c>
      <c r="F841" s="553" t="s">
        <v>2471</v>
      </c>
      <c r="G841" s="399">
        <v>49.9</v>
      </c>
      <c r="H841" s="532">
        <v>3038581</v>
      </c>
      <c r="J841" s="323" t="s">
        <v>2464</v>
      </c>
    </row>
    <row r="842" spans="1:10" x14ac:dyDescent="0.25">
      <c r="A842" s="321" t="s">
        <v>2432</v>
      </c>
      <c r="B842" s="323" t="s">
        <v>0</v>
      </c>
      <c r="C842" s="335" t="s">
        <v>238</v>
      </c>
      <c r="D842" s="392" t="s">
        <v>2468</v>
      </c>
      <c r="E842" s="387">
        <v>352754</v>
      </c>
      <c r="F842" s="553" t="s">
        <v>2472</v>
      </c>
      <c r="G842" s="399">
        <v>51.19</v>
      </c>
      <c r="H842" s="532">
        <v>3029027</v>
      </c>
      <c r="J842" s="323" t="s">
        <v>2465</v>
      </c>
    </row>
    <row r="843" spans="1:10" x14ac:dyDescent="0.25">
      <c r="A843" s="321" t="s">
        <v>2432</v>
      </c>
      <c r="B843" s="323" t="s">
        <v>0</v>
      </c>
      <c r="C843" s="335" t="s">
        <v>238</v>
      </c>
      <c r="D843" s="392" t="s">
        <v>2474</v>
      </c>
      <c r="E843" s="387">
        <v>352482</v>
      </c>
      <c r="F843" s="489" t="s">
        <v>2496</v>
      </c>
      <c r="G843" s="399">
        <v>53.38</v>
      </c>
      <c r="H843" s="489">
        <v>3029584</v>
      </c>
      <c r="J843" s="323" t="s">
        <v>2473</v>
      </c>
    </row>
    <row r="844" spans="1:10" x14ac:dyDescent="0.25">
      <c r="A844" s="321" t="s">
        <v>2432</v>
      </c>
      <c r="B844" s="323" t="s">
        <v>0</v>
      </c>
      <c r="C844" s="335" t="s">
        <v>238</v>
      </c>
      <c r="D844" s="392" t="s">
        <v>2477</v>
      </c>
      <c r="E844" s="387">
        <v>352474</v>
      </c>
      <c r="F844" s="489" t="s">
        <v>2497</v>
      </c>
      <c r="G844" s="399">
        <v>56.66</v>
      </c>
      <c r="H844" s="489">
        <v>3021622</v>
      </c>
      <c r="J844" s="323" t="s">
        <v>2475</v>
      </c>
    </row>
    <row r="845" spans="1:10" x14ac:dyDescent="0.25">
      <c r="A845" s="321" t="s">
        <v>2432</v>
      </c>
      <c r="B845" s="323" t="s">
        <v>0</v>
      </c>
      <c r="C845" s="335" t="s">
        <v>238</v>
      </c>
      <c r="D845" s="392" t="s">
        <v>1556</v>
      </c>
      <c r="E845" s="387">
        <v>351516</v>
      </c>
      <c r="F845" s="489" t="s">
        <v>2498</v>
      </c>
      <c r="G845" s="399">
        <v>59.49</v>
      </c>
      <c r="H845" s="489">
        <v>3032458</v>
      </c>
      <c r="J845" s="323" t="s">
        <v>2476</v>
      </c>
    </row>
    <row r="846" spans="1:10" x14ac:dyDescent="0.25">
      <c r="A846" s="321" t="s">
        <v>2432</v>
      </c>
      <c r="B846" s="323" t="s">
        <v>0</v>
      </c>
      <c r="C846" s="335" t="s">
        <v>238</v>
      </c>
      <c r="D846" s="392" t="s">
        <v>1777</v>
      </c>
      <c r="E846" s="387">
        <v>352537</v>
      </c>
      <c r="F846" s="489" t="s">
        <v>2499</v>
      </c>
      <c r="G846" s="399">
        <v>65.900000000000006</v>
      </c>
      <c r="H846" s="489">
        <v>3031433</v>
      </c>
      <c r="J846" s="323" t="s">
        <v>2478</v>
      </c>
    </row>
    <row r="847" spans="1:10" x14ac:dyDescent="0.25">
      <c r="A847" s="321" t="s">
        <v>2432</v>
      </c>
      <c r="B847" s="323" t="s">
        <v>0</v>
      </c>
      <c r="C847" s="335" t="s">
        <v>238</v>
      </c>
      <c r="D847" s="392" t="s">
        <v>2479</v>
      </c>
      <c r="E847" s="387">
        <v>352050</v>
      </c>
      <c r="F847" s="489" t="s">
        <v>2500</v>
      </c>
      <c r="G847" s="399">
        <v>71.89</v>
      </c>
      <c r="H847" s="489">
        <v>3032788</v>
      </c>
      <c r="J847" s="323" t="s">
        <v>2480</v>
      </c>
    </row>
    <row r="848" spans="1:10" x14ac:dyDescent="0.25">
      <c r="A848" s="321" t="s">
        <v>2432</v>
      </c>
      <c r="B848" s="323" t="s">
        <v>0</v>
      </c>
      <c r="C848" s="335" t="s">
        <v>238</v>
      </c>
      <c r="D848" s="392" t="s">
        <v>2485</v>
      </c>
      <c r="E848" s="387">
        <v>219951</v>
      </c>
      <c r="F848" s="489" t="s">
        <v>2501</v>
      </c>
      <c r="G848" s="399">
        <v>80.430000000000007</v>
      </c>
      <c r="H848" s="489">
        <v>3024340</v>
      </c>
      <c r="J848" s="323" t="s">
        <v>2481</v>
      </c>
    </row>
    <row r="849" spans="1:10" x14ac:dyDescent="0.25">
      <c r="A849" s="321" t="s">
        <v>2432</v>
      </c>
      <c r="B849" s="323" t="s">
        <v>0</v>
      </c>
      <c r="C849" s="335" t="s">
        <v>238</v>
      </c>
      <c r="D849" s="392" t="s">
        <v>2486</v>
      </c>
      <c r="E849" s="387">
        <v>352800</v>
      </c>
      <c r="F849" s="489" t="s">
        <v>2502</v>
      </c>
      <c r="G849" s="399">
        <v>80.95</v>
      </c>
      <c r="H849" s="489">
        <v>3018949</v>
      </c>
      <c r="J849" s="323" t="s">
        <v>2482</v>
      </c>
    </row>
    <row r="850" spans="1:10" x14ac:dyDescent="0.25">
      <c r="A850" s="321" t="s">
        <v>2432</v>
      </c>
      <c r="B850" s="323" t="s">
        <v>0</v>
      </c>
      <c r="C850" s="335" t="s">
        <v>238</v>
      </c>
      <c r="D850" s="392" t="s">
        <v>2487</v>
      </c>
      <c r="E850" s="387">
        <v>352943</v>
      </c>
      <c r="F850" s="489" t="s">
        <v>2503</v>
      </c>
      <c r="G850" s="399">
        <v>81.900000000000006</v>
      </c>
      <c r="H850" s="489">
        <v>3032801</v>
      </c>
      <c r="J850" s="323" t="s">
        <v>2483</v>
      </c>
    </row>
    <row r="851" spans="1:10" x14ac:dyDescent="0.25">
      <c r="A851" s="321" t="s">
        <v>2432</v>
      </c>
      <c r="B851" s="323" t="s">
        <v>0</v>
      </c>
      <c r="C851" s="335" t="s">
        <v>238</v>
      </c>
      <c r="D851" s="392" t="s">
        <v>2488</v>
      </c>
      <c r="E851" s="387">
        <v>351679</v>
      </c>
      <c r="F851" s="489" t="s">
        <v>2504</v>
      </c>
      <c r="G851" s="399">
        <v>97.54</v>
      </c>
      <c r="H851" s="489">
        <v>3028936</v>
      </c>
      <c r="J851" s="323" t="s">
        <v>2484</v>
      </c>
    </row>
    <row r="852" spans="1:10" x14ac:dyDescent="0.25">
      <c r="A852" s="321" t="s">
        <v>2432</v>
      </c>
      <c r="B852" s="323" t="s">
        <v>0</v>
      </c>
      <c r="C852" s="335" t="s">
        <v>238</v>
      </c>
      <c r="D852" s="392" t="s">
        <v>2489</v>
      </c>
      <c r="E852" s="387">
        <v>350567</v>
      </c>
      <c r="F852" s="489" t="s">
        <v>2505</v>
      </c>
      <c r="G852" s="399">
        <v>100.95</v>
      </c>
      <c r="H852" s="489">
        <v>3034907</v>
      </c>
      <c r="J852" s="323" t="s">
        <v>2490</v>
      </c>
    </row>
    <row r="853" spans="1:10" x14ac:dyDescent="0.25">
      <c r="A853" s="321" t="s">
        <v>2432</v>
      </c>
      <c r="B853" s="323" t="s">
        <v>0</v>
      </c>
      <c r="C853" s="323" t="s">
        <v>2439</v>
      </c>
      <c r="D853" s="392" t="s">
        <v>75</v>
      </c>
      <c r="E853" s="387">
        <v>350332</v>
      </c>
      <c r="F853" s="489" t="s">
        <v>2506</v>
      </c>
      <c r="G853" s="399">
        <v>105.99</v>
      </c>
      <c r="H853" s="489">
        <v>3015361</v>
      </c>
      <c r="J853" s="323" t="s">
        <v>2491</v>
      </c>
    </row>
    <row r="854" spans="1:10" x14ac:dyDescent="0.25">
      <c r="A854" s="321" t="s">
        <v>2432</v>
      </c>
      <c r="B854" s="323" t="s">
        <v>0</v>
      </c>
      <c r="C854" s="335" t="s">
        <v>238</v>
      </c>
      <c r="D854" s="392" t="s">
        <v>2124</v>
      </c>
      <c r="E854" s="387">
        <v>350447</v>
      </c>
      <c r="F854" s="489" t="s">
        <v>2507</v>
      </c>
      <c r="G854" s="399">
        <v>111.37</v>
      </c>
      <c r="H854" s="489">
        <v>3035023</v>
      </c>
      <c r="J854" s="323" t="s">
        <v>2492</v>
      </c>
    </row>
    <row r="855" spans="1:10" x14ac:dyDescent="0.25">
      <c r="A855" s="321" t="s">
        <v>2432</v>
      </c>
      <c r="B855" s="323" t="s">
        <v>0</v>
      </c>
      <c r="C855" s="335" t="s">
        <v>238</v>
      </c>
      <c r="D855" s="392" t="s">
        <v>1677</v>
      </c>
      <c r="E855" s="387">
        <v>350432</v>
      </c>
      <c r="F855" s="489" t="s">
        <v>2508</v>
      </c>
      <c r="G855" s="399">
        <v>321.43</v>
      </c>
      <c r="H855" s="489">
        <v>3035512</v>
      </c>
      <c r="J855" s="323" t="s">
        <v>2493</v>
      </c>
    </row>
    <row r="856" spans="1:10" x14ac:dyDescent="0.25">
      <c r="A856" s="321" t="s">
        <v>2432</v>
      </c>
      <c r="B856" s="323" t="s">
        <v>0</v>
      </c>
      <c r="D856" s="392" t="s">
        <v>2495</v>
      </c>
      <c r="E856" s="387">
        <v>1169</v>
      </c>
      <c r="F856" s="489" t="s">
        <v>2509</v>
      </c>
      <c r="G856" s="399">
        <v>46.9</v>
      </c>
      <c r="H856" s="489">
        <v>3025985</v>
      </c>
      <c r="J856" s="323" t="s">
        <v>2494</v>
      </c>
    </row>
    <row r="857" spans="1:10" x14ac:dyDescent="0.25">
      <c r="A857" s="321" t="s">
        <v>2432</v>
      </c>
      <c r="B857" s="323" t="s">
        <v>0</v>
      </c>
      <c r="D857" s="392" t="s">
        <v>2495</v>
      </c>
      <c r="E857" s="387">
        <v>1169</v>
      </c>
      <c r="F857" s="489" t="s">
        <v>2510</v>
      </c>
      <c r="G857" s="399">
        <v>103.9</v>
      </c>
      <c r="H857" s="489">
        <v>3030030</v>
      </c>
      <c r="J857" s="323" t="s">
        <v>2494</v>
      </c>
    </row>
    <row r="858" spans="1:10" x14ac:dyDescent="0.25">
      <c r="A858" s="321" t="s">
        <v>2432</v>
      </c>
      <c r="B858" s="323" t="s">
        <v>0</v>
      </c>
      <c r="D858" s="392" t="s">
        <v>2495</v>
      </c>
      <c r="E858" s="387">
        <v>1169</v>
      </c>
      <c r="F858" s="489" t="s">
        <v>2511</v>
      </c>
      <c r="G858" s="399">
        <v>176.9</v>
      </c>
      <c r="H858" s="489">
        <v>3030158</v>
      </c>
      <c r="J858" s="323" t="s">
        <v>2494</v>
      </c>
    </row>
    <row r="859" spans="1:10" x14ac:dyDescent="0.25">
      <c r="A859" s="368" t="s">
        <v>2521</v>
      </c>
      <c r="B859" s="327" t="s">
        <v>0</v>
      </c>
      <c r="C859" s="323" t="s">
        <v>2440</v>
      </c>
      <c r="D859" s="392" t="s">
        <v>75</v>
      </c>
      <c r="E859" s="387">
        <v>350332</v>
      </c>
      <c r="F859" s="489" t="s">
        <v>2506</v>
      </c>
      <c r="G859" s="578">
        <v>-105.99</v>
      </c>
      <c r="H859" s="489">
        <v>3015361</v>
      </c>
      <c r="J859" s="323" t="s">
        <v>2518</v>
      </c>
    </row>
    <row r="860" spans="1:10" x14ac:dyDescent="0.25">
      <c r="A860" s="321" t="s">
        <v>2521</v>
      </c>
      <c r="B860" s="323" t="s">
        <v>0</v>
      </c>
      <c r="C860" s="323" t="s">
        <v>2440</v>
      </c>
      <c r="D860" s="392" t="s">
        <v>2307</v>
      </c>
      <c r="E860" s="550">
        <v>351733</v>
      </c>
      <c r="F860" s="314" t="s">
        <v>2309</v>
      </c>
      <c r="G860" s="578">
        <v>-99.05</v>
      </c>
      <c r="H860" s="532">
        <v>2983245</v>
      </c>
      <c r="J860" s="323" t="s">
        <v>2519</v>
      </c>
    </row>
    <row r="861" spans="1:10" x14ac:dyDescent="0.25">
      <c r="A861" s="321" t="s">
        <v>2521</v>
      </c>
      <c r="B861" s="323" t="s">
        <v>0</v>
      </c>
      <c r="C861" s="323" t="s">
        <v>2440</v>
      </c>
      <c r="D861" s="392" t="s">
        <v>2077</v>
      </c>
      <c r="E861" s="387">
        <v>352592</v>
      </c>
      <c r="F861" s="553" t="s">
        <v>2471</v>
      </c>
      <c r="G861" s="578">
        <v>-49.9</v>
      </c>
      <c r="H861" s="532">
        <v>3038581</v>
      </c>
      <c r="J861" s="323" t="s">
        <v>2520</v>
      </c>
    </row>
    <row r="862" spans="1:10" x14ac:dyDescent="0.25">
      <c r="A862" s="321" t="s">
        <v>2521</v>
      </c>
      <c r="B862" s="323" t="s">
        <v>0</v>
      </c>
      <c r="C862" s="335" t="s">
        <v>238</v>
      </c>
      <c r="D862" s="392" t="s">
        <v>2523</v>
      </c>
      <c r="E862" s="387">
        <v>351257</v>
      </c>
      <c r="F862" s="553" t="s">
        <v>2524</v>
      </c>
      <c r="G862" s="578">
        <v>28.15</v>
      </c>
      <c r="H862" s="532">
        <v>3053632</v>
      </c>
      <c r="J862" s="323" t="s">
        <v>2522</v>
      </c>
    </row>
    <row r="863" spans="1:10" x14ac:dyDescent="0.25">
      <c r="A863" s="321" t="s">
        <v>2521</v>
      </c>
      <c r="B863" s="323" t="s">
        <v>0</v>
      </c>
      <c r="C863" s="335" t="s">
        <v>238</v>
      </c>
      <c r="D863" s="392" t="s">
        <v>2322</v>
      </c>
      <c r="E863" s="387">
        <v>350451</v>
      </c>
      <c r="F863" s="553" t="s">
        <v>2525</v>
      </c>
      <c r="G863" s="578">
        <v>29.95</v>
      </c>
      <c r="H863" s="532">
        <v>3044611</v>
      </c>
      <c r="J863" s="323" t="s">
        <v>2526</v>
      </c>
    </row>
    <row r="864" spans="1:10" x14ac:dyDescent="0.25">
      <c r="A864" s="321" t="s">
        <v>2521</v>
      </c>
      <c r="B864" s="323" t="s">
        <v>0</v>
      </c>
      <c r="C864" s="335" t="s">
        <v>238</v>
      </c>
      <c r="D864" s="392" t="s">
        <v>203</v>
      </c>
      <c r="E864" s="387">
        <v>352217</v>
      </c>
      <c r="F864" s="553" t="s">
        <v>2555</v>
      </c>
      <c r="G864" s="578">
        <v>33.97</v>
      </c>
      <c r="H864" s="532">
        <v>3050480</v>
      </c>
      <c r="J864" s="323" t="s">
        <v>2527</v>
      </c>
    </row>
    <row r="865" spans="1:10" x14ac:dyDescent="0.25">
      <c r="A865" s="321" t="s">
        <v>2521</v>
      </c>
      <c r="B865" s="323" t="s">
        <v>0</v>
      </c>
      <c r="C865" s="335" t="s">
        <v>238</v>
      </c>
      <c r="D865" s="392" t="s">
        <v>2531</v>
      </c>
      <c r="E865" s="387">
        <v>352708</v>
      </c>
      <c r="F865" s="553" t="s">
        <v>2556</v>
      </c>
      <c r="G865" s="578">
        <v>34.950000000000003</v>
      </c>
      <c r="H865" s="532">
        <v>3060280</v>
      </c>
      <c r="J865" s="323" t="s">
        <v>2528</v>
      </c>
    </row>
    <row r="866" spans="1:10" x14ac:dyDescent="0.25">
      <c r="A866" s="321" t="s">
        <v>2521</v>
      </c>
      <c r="B866" s="323" t="s">
        <v>0</v>
      </c>
      <c r="C866" s="335" t="s">
        <v>238</v>
      </c>
      <c r="D866" s="392" t="s">
        <v>2073</v>
      </c>
      <c r="E866" s="387">
        <v>352603</v>
      </c>
      <c r="F866" s="553" t="s">
        <v>2557</v>
      </c>
      <c r="G866" s="578">
        <v>35.950000000000003</v>
      </c>
      <c r="H866" s="532">
        <v>3044046</v>
      </c>
      <c r="J866" s="323" t="s">
        <v>2529</v>
      </c>
    </row>
    <row r="867" spans="1:10" x14ac:dyDescent="0.25">
      <c r="A867" s="321" t="s">
        <v>2521</v>
      </c>
      <c r="B867" s="323" t="s">
        <v>0</v>
      </c>
      <c r="C867" s="335" t="s">
        <v>238</v>
      </c>
      <c r="D867" s="392" t="s">
        <v>2153</v>
      </c>
      <c r="E867" s="387">
        <v>351194</v>
      </c>
      <c r="F867" s="553" t="s">
        <v>2558</v>
      </c>
      <c r="G867" s="578">
        <v>36.950000000000003</v>
      </c>
      <c r="H867" s="532" t="s">
        <v>2572</v>
      </c>
      <c r="J867" s="323" t="s">
        <v>2530</v>
      </c>
    </row>
    <row r="868" spans="1:10" x14ac:dyDescent="0.25">
      <c r="A868" s="321" t="s">
        <v>2521</v>
      </c>
      <c r="B868" s="323" t="s">
        <v>0</v>
      </c>
      <c r="C868" s="335" t="s">
        <v>238</v>
      </c>
      <c r="D868" s="392" t="s">
        <v>2532</v>
      </c>
      <c r="E868" s="387">
        <v>351653</v>
      </c>
      <c r="F868" s="553" t="s">
        <v>2559</v>
      </c>
      <c r="G868" s="578">
        <v>42.95</v>
      </c>
      <c r="H868" s="532">
        <v>3055670</v>
      </c>
      <c r="J868" s="323" t="s">
        <v>2537</v>
      </c>
    </row>
    <row r="869" spans="1:10" x14ac:dyDescent="0.25">
      <c r="A869" s="321" t="s">
        <v>2521</v>
      </c>
      <c r="B869" s="323" t="s">
        <v>0</v>
      </c>
      <c r="C869" s="335" t="s">
        <v>238</v>
      </c>
      <c r="D869" s="392" t="s">
        <v>2533</v>
      </c>
      <c r="E869" s="387">
        <v>351521</v>
      </c>
      <c r="F869" s="553" t="s">
        <v>2560</v>
      </c>
      <c r="G869" s="578">
        <v>47.95</v>
      </c>
      <c r="H869" s="532">
        <v>3043752</v>
      </c>
      <c r="J869" s="323" t="s">
        <v>2538</v>
      </c>
    </row>
    <row r="870" spans="1:10" x14ac:dyDescent="0.25">
      <c r="A870" s="321" t="s">
        <v>2521</v>
      </c>
      <c r="B870" s="323" t="s">
        <v>0</v>
      </c>
      <c r="C870" s="335" t="s">
        <v>238</v>
      </c>
      <c r="D870" s="392" t="s">
        <v>2534</v>
      </c>
      <c r="E870" s="387">
        <v>352637</v>
      </c>
      <c r="F870" s="553" t="s">
        <v>2561</v>
      </c>
      <c r="G870" s="578">
        <v>48</v>
      </c>
      <c r="H870" s="532">
        <v>3066718</v>
      </c>
      <c r="J870" s="323" t="s">
        <v>2539</v>
      </c>
    </row>
    <row r="871" spans="1:10" x14ac:dyDescent="0.25">
      <c r="A871" s="321" t="s">
        <v>2521</v>
      </c>
      <c r="B871" s="323" t="s">
        <v>0</v>
      </c>
      <c r="C871" s="335" t="s">
        <v>238</v>
      </c>
      <c r="D871" s="392" t="s">
        <v>2535</v>
      </c>
      <c r="E871" s="387">
        <v>523</v>
      </c>
      <c r="F871" s="553" t="s">
        <v>2562</v>
      </c>
      <c r="G871" s="578">
        <v>49.67</v>
      </c>
      <c r="H871" s="532">
        <v>3043026</v>
      </c>
      <c r="J871" s="323" t="s">
        <v>2540</v>
      </c>
    </row>
    <row r="872" spans="1:10" x14ac:dyDescent="0.25">
      <c r="A872" s="321" t="s">
        <v>2521</v>
      </c>
      <c r="B872" s="323" t="s">
        <v>0</v>
      </c>
      <c r="C872" s="335" t="s">
        <v>238</v>
      </c>
      <c r="D872" s="392" t="s">
        <v>2536</v>
      </c>
      <c r="E872" s="387">
        <v>353602</v>
      </c>
      <c r="F872" s="553"/>
      <c r="G872" s="578">
        <v>51.49</v>
      </c>
      <c r="H872" s="532"/>
      <c r="J872" s="323" t="s">
        <v>2541</v>
      </c>
    </row>
    <row r="873" spans="1:10" x14ac:dyDescent="0.25">
      <c r="A873" s="321" t="s">
        <v>2521</v>
      </c>
      <c r="B873" s="323" t="s">
        <v>0</v>
      </c>
      <c r="C873" s="335" t="s">
        <v>238</v>
      </c>
      <c r="D873" s="392" t="s">
        <v>2543</v>
      </c>
      <c r="E873" s="387">
        <v>351872</v>
      </c>
      <c r="F873" s="553" t="s">
        <v>2563</v>
      </c>
      <c r="G873" s="578">
        <v>63.9</v>
      </c>
      <c r="H873" s="532">
        <v>3071215</v>
      </c>
      <c r="J873" s="323" t="s">
        <v>2542</v>
      </c>
    </row>
    <row r="874" spans="1:10" x14ac:dyDescent="0.25">
      <c r="A874" s="321" t="s">
        <v>2521</v>
      </c>
      <c r="B874" s="323" t="s">
        <v>0</v>
      </c>
      <c r="C874" s="335" t="s">
        <v>238</v>
      </c>
      <c r="D874" s="392" t="s">
        <v>2547</v>
      </c>
      <c r="E874" s="387">
        <v>351351</v>
      </c>
      <c r="F874" s="553" t="s">
        <v>2564</v>
      </c>
      <c r="G874" s="578">
        <v>71.95</v>
      </c>
      <c r="H874" s="532">
        <v>3055566</v>
      </c>
      <c r="J874" s="323" t="s">
        <v>2544</v>
      </c>
    </row>
    <row r="875" spans="1:10" x14ac:dyDescent="0.25">
      <c r="A875" s="321" t="s">
        <v>2521</v>
      </c>
      <c r="B875" s="323" t="s">
        <v>0</v>
      </c>
      <c r="C875" s="335" t="s">
        <v>238</v>
      </c>
      <c r="D875" s="392" t="s">
        <v>2363</v>
      </c>
      <c r="E875" s="387">
        <v>350576</v>
      </c>
      <c r="F875" s="553" t="s">
        <v>2565</v>
      </c>
      <c r="G875" s="578">
        <v>72.72</v>
      </c>
      <c r="H875" s="532">
        <v>3070651</v>
      </c>
      <c r="J875" s="323" t="s">
        <v>2545</v>
      </c>
    </row>
    <row r="876" spans="1:10" x14ac:dyDescent="0.25">
      <c r="A876" s="321" t="s">
        <v>2521</v>
      </c>
      <c r="B876" s="323" t="s">
        <v>0</v>
      </c>
      <c r="C876" s="335" t="s">
        <v>238</v>
      </c>
      <c r="D876" s="392" t="s">
        <v>2548</v>
      </c>
      <c r="E876" s="387">
        <v>351745</v>
      </c>
      <c r="F876" s="553" t="s">
        <v>2566</v>
      </c>
      <c r="G876" s="578">
        <v>72.95</v>
      </c>
      <c r="H876" s="532">
        <v>3052925</v>
      </c>
      <c r="J876" s="323" t="s">
        <v>2546</v>
      </c>
    </row>
    <row r="877" spans="1:10" x14ac:dyDescent="0.25">
      <c r="A877" s="321" t="s">
        <v>2521</v>
      </c>
      <c r="B877" s="323" t="s">
        <v>0</v>
      </c>
      <c r="C877" s="335" t="s">
        <v>238</v>
      </c>
      <c r="D877" s="392" t="s">
        <v>1291</v>
      </c>
      <c r="E877" s="387">
        <v>351726</v>
      </c>
      <c r="F877" s="553" t="s">
        <v>2567</v>
      </c>
      <c r="G877" s="578">
        <v>86.91</v>
      </c>
      <c r="H877" s="532">
        <v>3053697</v>
      </c>
      <c r="J877" s="323" t="s">
        <v>2549</v>
      </c>
    </row>
    <row r="878" spans="1:10" x14ac:dyDescent="0.25">
      <c r="A878" s="321" t="s">
        <v>2521</v>
      </c>
      <c r="B878" s="323" t="s">
        <v>0</v>
      </c>
      <c r="C878" s="335" t="s">
        <v>238</v>
      </c>
      <c r="D878" s="392" t="s">
        <v>2550</v>
      </c>
      <c r="E878" s="387">
        <v>353759</v>
      </c>
      <c r="F878" s="553"/>
      <c r="G878" s="578">
        <v>88.71</v>
      </c>
      <c r="H878" s="532"/>
      <c r="J878" s="323" t="s">
        <v>2541</v>
      </c>
    </row>
    <row r="879" spans="1:10" x14ac:dyDescent="0.25">
      <c r="A879" s="321" t="s">
        <v>2521</v>
      </c>
      <c r="B879" s="323" t="s">
        <v>0</v>
      </c>
      <c r="C879" s="335" t="s">
        <v>238</v>
      </c>
      <c r="D879" s="392" t="s">
        <v>2144</v>
      </c>
      <c r="E879" s="387">
        <v>352980</v>
      </c>
      <c r="F879" s="553"/>
      <c r="G879" s="578">
        <v>133.16999999999999</v>
      </c>
      <c r="H879" s="532"/>
      <c r="J879" s="323" t="s">
        <v>2541</v>
      </c>
    </row>
    <row r="880" spans="1:10" x14ac:dyDescent="0.25">
      <c r="A880" s="321" t="s">
        <v>2521</v>
      </c>
      <c r="B880" s="323" t="s">
        <v>0</v>
      </c>
      <c r="C880" s="607" t="s">
        <v>4826</v>
      </c>
      <c r="D880" s="392" t="s">
        <v>2552</v>
      </c>
      <c r="E880" s="387">
        <v>217853</v>
      </c>
      <c r="F880" s="553"/>
      <c r="G880" s="578">
        <v>183.51</v>
      </c>
      <c r="H880" s="532"/>
      <c r="J880" s="323" t="s">
        <v>2541</v>
      </c>
    </row>
    <row r="881" spans="1:10" x14ac:dyDescent="0.25">
      <c r="A881" s="321" t="s">
        <v>2521</v>
      </c>
      <c r="B881" s="323" t="s">
        <v>0</v>
      </c>
      <c r="C881" s="335" t="s">
        <v>238</v>
      </c>
      <c r="D881" s="392" t="s">
        <v>1375</v>
      </c>
      <c r="E881" s="387">
        <v>351781</v>
      </c>
      <c r="F881" s="553" t="s">
        <v>2568</v>
      </c>
      <c r="G881" s="578">
        <v>191.8</v>
      </c>
      <c r="H881" s="532">
        <v>3063916</v>
      </c>
      <c r="J881" s="323" t="s">
        <v>2551</v>
      </c>
    </row>
    <row r="882" spans="1:10" x14ac:dyDescent="0.25">
      <c r="A882" s="321" t="s">
        <v>2521</v>
      </c>
      <c r="B882" s="323" t="s">
        <v>0</v>
      </c>
      <c r="C882" s="335" t="s">
        <v>238</v>
      </c>
      <c r="D882" s="392" t="s">
        <v>2149</v>
      </c>
      <c r="E882" s="387">
        <v>35002</v>
      </c>
      <c r="F882" s="553" t="s">
        <v>2569</v>
      </c>
      <c r="G882" s="578">
        <v>78.099999999999994</v>
      </c>
      <c r="H882" s="532">
        <v>3049266</v>
      </c>
      <c r="J882" s="323" t="s">
        <v>2553</v>
      </c>
    </row>
    <row r="883" spans="1:10" x14ac:dyDescent="0.25">
      <c r="A883" s="321" t="s">
        <v>2521</v>
      </c>
      <c r="B883" s="323" t="s">
        <v>0</v>
      </c>
      <c r="C883" s="335" t="s">
        <v>238</v>
      </c>
      <c r="D883" s="392" t="s">
        <v>2149</v>
      </c>
      <c r="E883" s="387">
        <v>35002</v>
      </c>
      <c r="F883" s="553" t="s">
        <v>2570</v>
      </c>
      <c r="G883" s="578">
        <v>122.95</v>
      </c>
      <c r="H883" s="532">
        <v>3062819</v>
      </c>
      <c r="J883" s="323" t="s">
        <v>2553</v>
      </c>
    </row>
    <row r="884" spans="1:10" x14ac:dyDescent="0.25">
      <c r="A884" s="321" t="s">
        <v>2521</v>
      </c>
      <c r="B884" s="323" t="s">
        <v>0</v>
      </c>
      <c r="C884" s="335" t="s">
        <v>238</v>
      </c>
      <c r="D884" s="392" t="s">
        <v>106</v>
      </c>
      <c r="E884" s="387">
        <v>350557</v>
      </c>
      <c r="F884" s="553" t="s">
        <v>2571</v>
      </c>
      <c r="G884" s="578">
        <v>209.7</v>
      </c>
      <c r="H884" s="532">
        <v>3044941</v>
      </c>
      <c r="J884" s="323" t="s">
        <v>2554</v>
      </c>
    </row>
    <row r="885" spans="1:10" x14ac:dyDescent="0.25">
      <c r="A885" s="321">
        <v>42850</v>
      </c>
      <c r="B885" s="323" t="s">
        <v>127</v>
      </c>
      <c r="D885" s="392" t="s">
        <v>181</v>
      </c>
      <c r="E885" s="387">
        <v>351215</v>
      </c>
      <c r="F885" s="553"/>
      <c r="G885" s="578">
        <v>117.9</v>
      </c>
      <c r="H885" s="532">
        <v>3046813</v>
      </c>
      <c r="J885" s="323" t="s">
        <v>2573</v>
      </c>
    </row>
    <row r="886" spans="1:10" x14ac:dyDescent="0.25">
      <c r="A886" s="321">
        <v>42851</v>
      </c>
      <c r="B886" s="323" t="s">
        <v>127</v>
      </c>
      <c r="D886" s="392" t="s">
        <v>181</v>
      </c>
      <c r="E886" s="387">
        <v>351215</v>
      </c>
      <c r="F886" s="553"/>
      <c r="G886" s="578">
        <v>173.19</v>
      </c>
      <c r="H886" s="532">
        <v>3053965</v>
      </c>
      <c r="J886" s="323" t="s">
        <v>2573</v>
      </c>
    </row>
    <row r="887" spans="1:10" x14ac:dyDescent="0.25">
      <c r="A887" s="321">
        <v>42851</v>
      </c>
      <c r="B887" s="323" t="s">
        <v>127</v>
      </c>
      <c r="D887" s="392" t="s">
        <v>181</v>
      </c>
      <c r="E887" s="387">
        <v>351215</v>
      </c>
      <c r="F887" s="553"/>
      <c r="G887" s="578">
        <v>65</v>
      </c>
      <c r="H887" s="532">
        <v>3054269</v>
      </c>
      <c r="J887" s="323" t="s">
        <v>2573</v>
      </c>
    </row>
    <row r="888" spans="1:10" x14ac:dyDescent="0.25">
      <c r="A888" s="321">
        <v>42851</v>
      </c>
      <c r="B888" s="323" t="s">
        <v>127</v>
      </c>
      <c r="D888" s="392" t="s">
        <v>181</v>
      </c>
      <c r="E888" s="387">
        <v>351215</v>
      </c>
      <c r="F888" s="553"/>
      <c r="G888" s="578">
        <v>128.07</v>
      </c>
      <c r="H888" s="532">
        <v>3053211</v>
      </c>
      <c r="J888" s="323" t="s">
        <v>2573</v>
      </c>
    </row>
    <row r="889" spans="1:10" x14ac:dyDescent="0.25">
      <c r="A889" s="321">
        <v>42852</v>
      </c>
      <c r="B889" s="323" t="s">
        <v>127</v>
      </c>
      <c r="D889" s="392" t="s">
        <v>181</v>
      </c>
      <c r="E889" s="387">
        <v>351215</v>
      </c>
      <c r="F889" s="553"/>
      <c r="G889" s="578">
        <v>106.2</v>
      </c>
      <c r="H889" s="532">
        <v>3058386</v>
      </c>
      <c r="J889" s="323" t="s">
        <v>2573</v>
      </c>
    </row>
    <row r="890" spans="1:10" x14ac:dyDescent="0.25">
      <c r="A890" s="321">
        <v>42853</v>
      </c>
      <c r="B890" s="323" t="s">
        <v>127</v>
      </c>
      <c r="D890" s="392" t="s">
        <v>2574</v>
      </c>
      <c r="E890" s="387">
        <v>352823</v>
      </c>
      <c r="F890" s="553"/>
      <c r="G890" s="578">
        <f>21.52+29.8</f>
        <v>51.32</v>
      </c>
      <c r="H890" s="532">
        <v>3069117</v>
      </c>
      <c r="J890" s="323" t="s">
        <v>2573</v>
      </c>
    </row>
    <row r="891" spans="1:10" x14ac:dyDescent="0.25">
      <c r="A891" s="321">
        <v>42849</v>
      </c>
      <c r="B891" s="323" t="s">
        <v>127</v>
      </c>
      <c r="C891" s="584" t="s">
        <v>1997</v>
      </c>
      <c r="D891" s="392" t="s">
        <v>216</v>
      </c>
      <c r="E891" s="387">
        <v>350875</v>
      </c>
      <c r="F891" s="553"/>
      <c r="G891" s="578">
        <f>9.96+87.94</f>
        <v>97.9</v>
      </c>
      <c r="H891" s="532">
        <v>3046403</v>
      </c>
      <c r="J891" s="323" t="s">
        <v>2575</v>
      </c>
    </row>
    <row r="892" spans="1:10" x14ac:dyDescent="0.25">
      <c r="A892" s="321">
        <v>42851</v>
      </c>
      <c r="B892" s="323" t="s">
        <v>127</v>
      </c>
      <c r="C892" s="584" t="s">
        <v>1997</v>
      </c>
      <c r="D892" s="392" t="s">
        <v>216</v>
      </c>
      <c r="E892" s="387">
        <v>350875</v>
      </c>
      <c r="F892" s="553"/>
      <c r="G892" s="578">
        <f>40.14+102.87</f>
        <v>143.01</v>
      </c>
      <c r="H892" s="532">
        <v>3048797</v>
      </c>
      <c r="J892" s="323" t="s">
        <v>2575</v>
      </c>
    </row>
    <row r="893" spans="1:10" x14ac:dyDescent="0.25">
      <c r="A893" s="321">
        <v>42851</v>
      </c>
      <c r="B893" s="323" t="s">
        <v>127</v>
      </c>
      <c r="C893" s="584" t="s">
        <v>1997</v>
      </c>
      <c r="D893" s="392" t="s">
        <v>216</v>
      </c>
      <c r="E893" s="387">
        <v>350875</v>
      </c>
      <c r="F893" s="553"/>
      <c r="G893" s="578">
        <f>26.97+53.55</f>
        <v>80.52</v>
      </c>
      <c r="H893" s="532">
        <v>3058901</v>
      </c>
      <c r="J893" s="323" t="s">
        <v>2575</v>
      </c>
    </row>
    <row r="894" spans="1:10" x14ac:dyDescent="0.25">
      <c r="A894" s="321">
        <v>42850</v>
      </c>
      <c r="B894" s="323" t="s">
        <v>127</v>
      </c>
      <c r="C894" s="584" t="s">
        <v>1997</v>
      </c>
      <c r="D894" s="392" t="s">
        <v>214</v>
      </c>
      <c r="E894" s="387">
        <v>351307</v>
      </c>
      <c r="F894" s="553"/>
      <c r="G894" s="578">
        <f>10+54</f>
        <v>64</v>
      </c>
      <c r="H894" s="532">
        <v>3034261</v>
      </c>
      <c r="J894" s="323" t="s">
        <v>2576</v>
      </c>
    </row>
    <row r="895" spans="1:10" x14ac:dyDescent="0.25">
      <c r="A895" s="321">
        <v>42850</v>
      </c>
      <c r="B895" s="323" t="s">
        <v>127</v>
      </c>
      <c r="C895" s="584" t="s">
        <v>1997</v>
      </c>
      <c r="D895" s="392" t="s">
        <v>214</v>
      </c>
      <c r="E895" s="387">
        <v>351307</v>
      </c>
      <c r="F895" s="553"/>
      <c r="G895" s="578">
        <f>3.38+44.57</f>
        <v>47.95</v>
      </c>
      <c r="H895" s="532">
        <v>3040153</v>
      </c>
      <c r="J895" s="323" t="s">
        <v>2576</v>
      </c>
    </row>
    <row r="896" spans="1:10" x14ac:dyDescent="0.25">
      <c r="A896" s="321">
        <v>42851</v>
      </c>
      <c r="B896" s="323" t="s">
        <v>127</v>
      </c>
      <c r="C896" s="584" t="s">
        <v>1997</v>
      </c>
      <c r="D896" s="392" t="s">
        <v>214</v>
      </c>
      <c r="E896" s="387">
        <v>351307</v>
      </c>
      <c r="F896" s="553"/>
      <c r="G896" s="578">
        <f>1.73+35.22</f>
        <v>36.949999999999996</v>
      </c>
      <c r="H896" s="532">
        <v>3017970</v>
      </c>
      <c r="J896" s="323" t="s">
        <v>2576</v>
      </c>
    </row>
    <row r="897" spans="1:10" x14ac:dyDescent="0.25">
      <c r="A897" s="321">
        <v>42853</v>
      </c>
      <c r="B897" s="323" t="s">
        <v>127</v>
      </c>
      <c r="C897" s="584" t="s">
        <v>1997</v>
      </c>
      <c r="D897" s="392" t="s">
        <v>214</v>
      </c>
      <c r="E897" s="387">
        <v>351307</v>
      </c>
      <c r="F897" s="553"/>
      <c r="G897" s="578">
        <f>20.27+34.68</f>
        <v>54.95</v>
      </c>
      <c r="H897" s="532">
        <v>3066028</v>
      </c>
      <c r="J897" s="323" t="s">
        <v>2576</v>
      </c>
    </row>
    <row r="898" spans="1:10" x14ac:dyDescent="0.25">
      <c r="A898" s="321" t="s">
        <v>2579</v>
      </c>
      <c r="B898" s="323" t="s">
        <v>0</v>
      </c>
      <c r="C898" s="335" t="s">
        <v>238</v>
      </c>
      <c r="D898" s="392">
        <v>376272133996</v>
      </c>
      <c r="E898" s="387">
        <v>351621</v>
      </c>
      <c r="F898" s="553" t="s">
        <v>2578</v>
      </c>
      <c r="G898" s="578">
        <v>106.95</v>
      </c>
      <c r="H898" s="532">
        <v>3098884</v>
      </c>
      <c r="J898" s="323" t="s">
        <v>2577</v>
      </c>
    </row>
    <row r="899" spans="1:10" x14ac:dyDescent="0.25">
      <c r="A899" s="321" t="s">
        <v>2579</v>
      </c>
      <c r="B899" s="323" t="s">
        <v>0</v>
      </c>
      <c r="C899" s="335" t="s">
        <v>238</v>
      </c>
      <c r="D899" s="392" t="s">
        <v>14</v>
      </c>
      <c r="E899" s="387">
        <v>224529</v>
      </c>
      <c r="F899" s="553" t="s">
        <v>2585</v>
      </c>
      <c r="G899" s="578">
        <v>23.95</v>
      </c>
      <c r="H899" s="532">
        <v>3096415</v>
      </c>
      <c r="J899" s="323" t="s">
        <v>2580</v>
      </c>
    </row>
    <row r="900" spans="1:10" x14ac:dyDescent="0.25">
      <c r="A900" s="321" t="s">
        <v>2579</v>
      </c>
      <c r="B900" s="323" t="s">
        <v>0</v>
      </c>
      <c r="C900" s="335" t="s">
        <v>238</v>
      </c>
      <c r="D900" s="392" t="s">
        <v>2583</v>
      </c>
      <c r="E900" s="387">
        <v>351198</v>
      </c>
      <c r="F900" s="553" t="s">
        <v>2586</v>
      </c>
      <c r="G900" s="578">
        <v>23.95</v>
      </c>
      <c r="H900" s="532">
        <v>3085574</v>
      </c>
      <c r="J900" s="323" t="s">
        <v>2581</v>
      </c>
    </row>
    <row r="901" spans="1:10" x14ac:dyDescent="0.25">
      <c r="A901" s="321" t="s">
        <v>2579</v>
      </c>
      <c r="B901" s="323" t="s">
        <v>0</v>
      </c>
      <c r="C901" s="335" t="s">
        <v>238</v>
      </c>
      <c r="D901" s="392" t="s">
        <v>49</v>
      </c>
      <c r="E901" s="387">
        <v>350920</v>
      </c>
      <c r="F901" s="553" t="s">
        <v>2587</v>
      </c>
      <c r="G901" s="578">
        <v>25.95</v>
      </c>
      <c r="H901" s="532">
        <v>3098552</v>
      </c>
      <c r="J901" s="323" t="s">
        <v>2582</v>
      </c>
    </row>
    <row r="902" spans="1:10" x14ac:dyDescent="0.25">
      <c r="A902" s="321" t="s">
        <v>2579</v>
      </c>
      <c r="B902" s="323" t="s">
        <v>0</v>
      </c>
      <c r="C902" s="323" t="s">
        <v>2689</v>
      </c>
      <c r="D902" s="392" t="s">
        <v>2584</v>
      </c>
      <c r="E902" s="387">
        <v>218515</v>
      </c>
      <c r="F902" s="553"/>
      <c r="G902" s="578">
        <v>26.05</v>
      </c>
      <c r="H902" s="588"/>
      <c r="J902" s="323" t="s">
        <v>2374</v>
      </c>
    </row>
    <row r="903" spans="1:10" x14ac:dyDescent="0.25">
      <c r="A903" s="321" t="s">
        <v>2579</v>
      </c>
      <c r="B903" s="323" t="s">
        <v>0</v>
      </c>
      <c r="C903" s="335" t="s">
        <v>238</v>
      </c>
      <c r="D903" s="392" t="s">
        <v>2591</v>
      </c>
      <c r="E903" s="387">
        <v>352353</v>
      </c>
      <c r="F903" s="553" t="s">
        <v>2592</v>
      </c>
      <c r="G903" s="578">
        <v>28.85</v>
      </c>
      <c r="H903" s="532">
        <v>3066729</v>
      </c>
      <c r="J903" s="323" t="s">
        <v>2588</v>
      </c>
    </row>
    <row r="904" spans="1:10" x14ac:dyDescent="0.25">
      <c r="A904" s="321" t="s">
        <v>2579</v>
      </c>
      <c r="B904" s="323" t="s">
        <v>0</v>
      </c>
      <c r="C904" s="335" t="s">
        <v>238</v>
      </c>
      <c r="D904" s="392" t="s">
        <v>2079</v>
      </c>
      <c r="E904" s="387">
        <v>215037</v>
      </c>
      <c r="F904" s="553" t="s">
        <v>2593</v>
      </c>
      <c r="G904" s="578">
        <v>29.75</v>
      </c>
      <c r="H904" s="532">
        <v>3098467</v>
      </c>
      <c r="J904" s="323" t="s">
        <v>2589</v>
      </c>
    </row>
    <row r="905" spans="1:10" x14ac:dyDescent="0.25">
      <c r="A905" s="321" t="s">
        <v>2579</v>
      </c>
      <c r="B905" s="323" t="s">
        <v>0</v>
      </c>
      <c r="C905" s="335" t="s">
        <v>238</v>
      </c>
      <c r="D905" s="392" t="s">
        <v>1480</v>
      </c>
      <c r="E905" s="387">
        <v>350089</v>
      </c>
      <c r="F905" s="553" t="s">
        <v>2594</v>
      </c>
      <c r="G905" s="578">
        <v>30.65</v>
      </c>
      <c r="H905" s="532">
        <v>3094600</v>
      </c>
      <c r="J905" s="323" t="s">
        <v>2590</v>
      </c>
    </row>
    <row r="906" spans="1:10" x14ac:dyDescent="0.25">
      <c r="A906" s="321" t="s">
        <v>2579</v>
      </c>
      <c r="B906" s="323" t="s">
        <v>0</v>
      </c>
      <c r="C906" s="335" t="s">
        <v>238</v>
      </c>
      <c r="D906" s="392" t="s">
        <v>2595</v>
      </c>
      <c r="E906" s="387">
        <v>350601</v>
      </c>
      <c r="F906" s="553" t="s">
        <v>2600</v>
      </c>
      <c r="G906" s="578">
        <v>32.880000000000003</v>
      </c>
      <c r="H906" s="532">
        <v>3090334</v>
      </c>
      <c r="J906" s="323" t="s">
        <v>2597</v>
      </c>
    </row>
    <row r="907" spans="1:10" x14ac:dyDescent="0.25">
      <c r="A907" s="321" t="s">
        <v>2579</v>
      </c>
      <c r="B907" s="323" t="s">
        <v>0</v>
      </c>
      <c r="D907" s="392" t="s">
        <v>2596</v>
      </c>
      <c r="E907" s="387">
        <v>352371</v>
      </c>
      <c r="F907" s="553" t="s">
        <v>2601</v>
      </c>
      <c r="G907" s="578">
        <v>35.630000000000003</v>
      </c>
      <c r="H907" s="588">
        <v>3095003</v>
      </c>
      <c r="J907" s="323" t="s">
        <v>2598</v>
      </c>
    </row>
    <row r="908" spans="1:10" x14ac:dyDescent="0.25">
      <c r="A908" s="321" t="s">
        <v>2579</v>
      </c>
      <c r="B908" s="323" t="s">
        <v>0</v>
      </c>
      <c r="C908" s="335" t="s">
        <v>238</v>
      </c>
      <c r="D908" s="392" t="s">
        <v>2199</v>
      </c>
      <c r="E908" s="387">
        <v>226568</v>
      </c>
      <c r="F908" s="553" t="s">
        <v>2602</v>
      </c>
      <c r="G908" s="578">
        <v>36.950000000000003</v>
      </c>
      <c r="H908" s="588">
        <v>3090855</v>
      </c>
      <c r="J908" s="323" t="s">
        <v>2599</v>
      </c>
    </row>
    <row r="909" spans="1:10" x14ac:dyDescent="0.25">
      <c r="A909" s="321" t="s">
        <v>2579</v>
      </c>
      <c r="B909" s="323" t="s">
        <v>0</v>
      </c>
      <c r="C909" s="335" t="s">
        <v>238</v>
      </c>
      <c r="D909" s="392" t="s">
        <v>2605</v>
      </c>
      <c r="E909" s="387">
        <v>352956</v>
      </c>
      <c r="F909" s="553" t="s">
        <v>2604</v>
      </c>
      <c r="G909" s="578">
        <v>39.549999999999997</v>
      </c>
      <c r="H909" s="532">
        <v>3087788</v>
      </c>
      <c r="J909" s="323" t="s">
        <v>2603</v>
      </c>
    </row>
    <row r="910" spans="1:10" x14ac:dyDescent="0.25">
      <c r="A910" s="321" t="s">
        <v>2579</v>
      </c>
      <c r="B910" s="323" t="s">
        <v>0</v>
      </c>
      <c r="C910" s="335" t="s">
        <v>238</v>
      </c>
      <c r="D910" s="392" t="s">
        <v>2606</v>
      </c>
      <c r="E910" s="387">
        <v>353163</v>
      </c>
      <c r="F910" s="553"/>
      <c r="G910" s="578">
        <v>39.93</v>
      </c>
      <c r="H910" s="532"/>
      <c r="J910" s="323" t="s">
        <v>2374</v>
      </c>
    </row>
    <row r="911" spans="1:10" x14ac:dyDescent="0.25">
      <c r="A911" s="321" t="s">
        <v>2579</v>
      </c>
      <c r="B911" s="323" t="s">
        <v>0</v>
      </c>
      <c r="C911" s="335" t="s">
        <v>238</v>
      </c>
      <c r="D911" s="392" t="s">
        <v>2612</v>
      </c>
      <c r="E911" s="387">
        <v>221192</v>
      </c>
      <c r="F911" s="553" t="s">
        <v>2615</v>
      </c>
      <c r="G911" s="578">
        <v>40.549999999999997</v>
      </c>
      <c r="H911" s="532">
        <v>3087157</v>
      </c>
      <c r="J911" s="323" t="s">
        <v>2607</v>
      </c>
    </row>
    <row r="912" spans="1:10" x14ac:dyDescent="0.25">
      <c r="A912" s="321" t="s">
        <v>2579</v>
      </c>
      <c r="B912" s="323" t="s">
        <v>0</v>
      </c>
      <c r="C912" s="335" t="s">
        <v>238</v>
      </c>
      <c r="D912" s="392" t="s">
        <v>2082</v>
      </c>
      <c r="E912" s="387">
        <v>351527</v>
      </c>
      <c r="F912" s="553" t="s">
        <v>2619</v>
      </c>
      <c r="G912" s="578">
        <v>41.62</v>
      </c>
      <c r="H912" s="532">
        <v>3095378</v>
      </c>
      <c r="J912" s="323" t="s">
        <v>2608</v>
      </c>
    </row>
    <row r="913" spans="1:10" x14ac:dyDescent="0.25">
      <c r="A913" s="321" t="s">
        <v>2579</v>
      </c>
      <c r="B913" s="323" t="s">
        <v>0</v>
      </c>
      <c r="C913" s="335" t="s">
        <v>238</v>
      </c>
      <c r="D913" s="392" t="s">
        <v>2098</v>
      </c>
      <c r="E913" s="387">
        <v>351064</v>
      </c>
      <c r="F913" s="553" t="s">
        <v>2616</v>
      </c>
      <c r="G913" s="578">
        <v>41.9</v>
      </c>
      <c r="H913" s="532">
        <v>3100329</v>
      </c>
      <c r="J913" s="323" t="s">
        <v>2609</v>
      </c>
    </row>
    <row r="914" spans="1:10" x14ac:dyDescent="0.25">
      <c r="A914" s="321" t="s">
        <v>2579</v>
      </c>
      <c r="B914" s="323" t="s">
        <v>0</v>
      </c>
      <c r="C914" s="335" t="s">
        <v>238</v>
      </c>
      <c r="D914" s="392" t="s">
        <v>2613</v>
      </c>
      <c r="E914" s="387">
        <v>213908</v>
      </c>
      <c r="F914" s="553" t="s">
        <v>2617</v>
      </c>
      <c r="G914" s="578">
        <v>42.46</v>
      </c>
      <c r="H914" s="532">
        <v>3100079</v>
      </c>
      <c r="J914" s="323" t="s">
        <v>2610</v>
      </c>
    </row>
    <row r="915" spans="1:10" x14ac:dyDescent="0.25">
      <c r="A915" s="321" t="s">
        <v>2579</v>
      </c>
      <c r="B915" s="323" t="s">
        <v>0</v>
      </c>
      <c r="C915" s="335" t="s">
        <v>238</v>
      </c>
      <c r="D915" s="392" t="s">
        <v>2614</v>
      </c>
      <c r="E915" s="387">
        <v>352443</v>
      </c>
      <c r="F915" s="553" t="s">
        <v>2618</v>
      </c>
      <c r="G915" s="578">
        <v>42.63</v>
      </c>
      <c r="H915" s="532">
        <v>3097960</v>
      </c>
      <c r="J915" s="323" t="s">
        <v>2611</v>
      </c>
    </row>
    <row r="916" spans="1:10" x14ac:dyDescent="0.25">
      <c r="A916" s="321" t="s">
        <v>2579</v>
      </c>
      <c r="B916" s="323" t="s">
        <v>0</v>
      </c>
      <c r="C916" s="335" t="s">
        <v>238</v>
      </c>
      <c r="D916" s="392" t="s">
        <v>2213</v>
      </c>
      <c r="E916" s="387">
        <v>351103</v>
      </c>
      <c r="F916" s="553" t="s">
        <v>2621</v>
      </c>
      <c r="G916" s="578">
        <v>44.7</v>
      </c>
      <c r="H916" s="532">
        <v>3100304</v>
      </c>
      <c r="J916" s="323" t="s">
        <v>2620</v>
      </c>
    </row>
    <row r="917" spans="1:10" x14ac:dyDescent="0.25">
      <c r="A917" s="321" t="s">
        <v>2579</v>
      </c>
      <c r="B917" s="323" t="s">
        <v>0</v>
      </c>
      <c r="C917" s="335" t="s">
        <v>238</v>
      </c>
      <c r="D917" s="392" t="s">
        <v>2047</v>
      </c>
      <c r="E917" s="387">
        <v>215661</v>
      </c>
      <c r="F917" s="553" t="s">
        <v>2623</v>
      </c>
      <c r="G917" s="578">
        <v>46.9</v>
      </c>
      <c r="H917" s="532">
        <v>3098500</v>
      </c>
      <c r="J917" s="323" t="s">
        <v>2622</v>
      </c>
    </row>
    <row r="918" spans="1:10" x14ac:dyDescent="0.25">
      <c r="A918" s="321" t="s">
        <v>2579</v>
      </c>
      <c r="B918" s="323" t="s">
        <v>0</v>
      </c>
      <c r="C918" s="335" t="s">
        <v>238</v>
      </c>
      <c r="D918" s="392" t="s">
        <v>2627</v>
      </c>
      <c r="E918" s="387">
        <v>351416</v>
      </c>
      <c r="F918" s="553" t="s">
        <v>2629</v>
      </c>
      <c r="G918" s="578">
        <v>53.22</v>
      </c>
      <c r="H918" s="532">
        <v>3079275</v>
      </c>
      <c r="J918" s="323" t="s">
        <v>2624</v>
      </c>
    </row>
    <row r="919" spans="1:10" x14ac:dyDescent="0.25">
      <c r="A919" s="321" t="s">
        <v>2579</v>
      </c>
      <c r="B919" s="323" t="s">
        <v>0</v>
      </c>
      <c r="C919" s="335" t="s">
        <v>238</v>
      </c>
      <c r="D919" s="392" t="s">
        <v>2319</v>
      </c>
      <c r="E919" s="387">
        <v>226863</v>
      </c>
      <c r="F919" s="553" t="s">
        <v>2630</v>
      </c>
      <c r="G919" s="578">
        <v>53.59</v>
      </c>
      <c r="H919" s="532">
        <v>3094546</v>
      </c>
      <c r="J919" s="323" t="s">
        <v>2625</v>
      </c>
    </row>
    <row r="920" spans="1:10" x14ac:dyDescent="0.25">
      <c r="A920" s="321" t="s">
        <v>2579</v>
      </c>
      <c r="B920" s="323" t="s">
        <v>0</v>
      </c>
      <c r="C920" s="335" t="s">
        <v>238</v>
      </c>
      <c r="D920" s="392" t="s">
        <v>2255</v>
      </c>
      <c r="E920" s="387">
        <v>353332</v>
      </c>
      <c r="F920" s="553"/>
      <c r="G920" s="578">
        <v>54.4</v>
      </c>
      <c r="H920" s="532"/>
      <c r="J920" s="323" t="s">
        <v>2374</v>
      </c>
    </row>
    <row r="921" spans="1:10" x14ac:dyDescent="0.25">
      <c r="A921" s="321" t="s">
        <v>2579</v>
      </c>
      <c r="B921" s="323" t="s">
        <v>0</v>
      </c>
      <c r="C921" s="335" t="s">
        <v>238</v>
      </c>
      <c r="D921" s="392" t="s">
        <v>2628</v>
      </c>
      <c r="E921" s="387">
        <v>226771</v>
      </c>
      <c r="F921" s="553" t="s">
        <v>2631</v>
      </c>
      <c r="G921" s="578">
        <v>56.4</v>
      </c>
      <c r="H921" s="532">
        <v>3098783</v>
      </c>
      <c r="J921" s="323" t="s">
        <v>2626</v>
      </c>
    </row>
    <row r="922" spans="1:10" x14ac:dyDescent="0.25">
      <c r="A922" s="321" t="s">
        <v>2579</v>
      </c>
      <c r="B922" s="323" t="s">
        <v>0</v>
      </c>
      <c r="C922" s="335" t="s">
        <v>238</v>
      </c>
      <c r="D922" s="392" t="s">
        <v>2634</v>
      </c>
      <c r="E922" s="387">
        <v>215288</v>
      </c>
      <c r="F922" s="553" t="s">
        <v>2633</v>
      </c>
      <c r="G922" s="578">
        <v>58.9</v>
      </c>
      <c r="H922" s="532">
        <v>3088669</v>
      </c>
      <c r="J922" s="323" t="s">
        <v>2632</v>
      </c>
    </row>
    <row r="923" spans="1:10" x14ac:dyDescent="0.25">
      <c r="A923" s="321" t="s">
        <v>2579</v>
      </c>
      <c r="B923" s="323" t="s">
        <v>0</v>
      </c>
      <c r="C923" s="323" t="s">
        <v>2689</v>
      </c>
      <c r="D923" s="392" t="s">
        <v>2639</v>
      </c>
      <c r="E923" s="387">
        <v>351384</v>
      </c>
      <c r="F923" s="553" t="s">
        <v>2637</v>
      </c>
      <c r="G923" s="578">
        <v>63.05</v>
      </c>
      <c r="H923" s="588">
        <v>3090159</v>
      </c>
      <c r="J923" s="323" t="s">
        <v>2635</v>
      </c>
    </row>
    <row r="924" spans="1:10" x14ac:dyDescent="0.25">
      <c r="A924" s="321" t="s">
        <v>2579</v>
      </c>
      <c r="B924" s="323" t="s">
        <v>0</v>
      </c>
      <c r="C924" s="335" t="s">
        <v>238</v>
      </c>
      <c r="D924" s="392" t="s">
        <v>1969</v>
      </c>
      <c r="E924" s="387">
        <v>201229</v>
      </c>
      <c r="F924" s="553" t="s">
        <v>2638</v>
      </c>
      <c r="G924" s="578">
        <v>63.95</v>
      </c>
      <c r="H924" s="532">
        <v>3087847</v>
      </c>
      <c r="J924" s="323" t="s">
        <v>2636</v>
      </c>
    </row>
    <row r="925" spans="1:10" x14ac:dyDescent="0.25">
      <c r="A925" s="321" t="s">
        <v>2579</v>
      </c>
      <c r="B925" s="323" t="s">
        <v>0</v>
      </c>
      <c r="C925" s="335" t="s">
        <v>238</v>
      </c>
      <c r="D925" s="392" t="s">
        <v>2264</v>
      </c>
      <c r="E925" s="387">
        <v>212288</v>
      </c>
      <c r="F925" s="553" t="s">
        <v>2641</v>
      </c>
      <c r="G925" s="578">
        <v>64.900000000000006</v>
      </c>
      <c r="H925" s="532">
        <v>3098822</v>
      </c>
      <c r="J925" s="323" t="s">
        <v>2640</v>
      </c>
    </row>
    <row r="926" spans="1:10" x14ac:dyDescent="0.25">
      <c r="A926" s="321" t="s">
        <v>2579</v>
      </c>
      <c r="B926" s="323" t="s">
        <v>0</v>
      </c>
      <c r="C926" s="335" t="s">
        <v>238</v>
      </c>
      <c r="D926" s="392" t="s">
        <v>1345</v>
      </c>
      <c r="E926" s="387">
        <v>222176</v>
      </c>
      <c r="F926" s="553" t="s">
        <v>2643</v>
      </c>
      <c r="G926" s="578">
        <v>69.150000000000006</v>
      </c>
      <c r="H926" s="532">
        <v>309995</v>
      </c>
      <c r="J926" s="323" t="s">
        <v>2642</v>
      </c>
    </row>
    <row r="927" spans="1:10" x14ac:dyDescent="0.25">
      <c r="A927" s="321" t="s">
        <v>2579</v>
      </c>
      <c r="B927" s="323" t="s">
        <v>0</v>
      </c>
      <c r="C927" s="335" t="s">
        <v>238</v>
      </c>
      <c r="D927" s="392" t="s">
        <v>1989</v>
      </c>
      <c r="E927" s="387">
        <v>353346</v>
      </c>
      <c r="F927" s="553"/>
      <c r="G927" s="578">
        <v>70.33</v>
      </c>
      <c r="H927" s="532"/>
      <c r="J927" s="323" t="s">
        <v>2374</v>
      </c>
    </row>
    <row r="928" spans="1:10" x14ac:dyDescent="0.25">
      <c r="A928" s="321" t="s">
        <v>2579</v>
      </c>
      <c r="B928" s="323" t="s">
        <v>0</v>
      </c>
      <c r="C928" s="335" t="s">
        <v>238</v>
      </c>
      <c r="D928" s="392" t="s">
        <v>2644</v>
      </c>
      <c r="E928" s="387">
        <v>352459</v>
      </c>
      <c r="F928" s="553" t="s">
        <v>2648</v>
      </c>
      <c r="G928" s="578">
        <v>72.95</v>
      </c>
      <c r="H928" s="532">
        <v>3097831</v>
      </c>
      <c r="J928" s="323" t="s">
        <v>2646</v>
      </c>
    </row>
    <row r="929" spans="1:10" x14ac:dyDescent="0.25">
      <c r="A929" s="321" t="s">
        <v>2579</v>
      </c>
      <c r="B929" s="323" t="s">
        <v>0</v>
      </c>
      <c r="C929" s="335" t="s">
        <v>238</v>
      </c>
      <c r="D929" s="392" t="s">
        <v>2645</v>
      </c>
      <c r="E929" s="387">
        <v>352581</v>
      </c>
      <c r="F929" s="553" t="s">
        <v>2649</v>
      </c>
      <c r="G929" s="578">
        <v>74.069999999999993</v>
      </c>
      <c r="H929" s="532">
        <v>3095300</v>
      </c>
      <c r="J929" s="323" t="s">
        <v>2647</v>
      </c>
    </row>
    <row r="930" spans="1:10" x14ac:dyDescent="0.25">
      <c r="A930" s="321" t="s">
        <v>2579</v>
      </c>
      <c r="B930" s="323" t="s">
        <v>0</v>
      </c>
      <c r="C930" s="335" t="s">
        <v>238</v>
      </c>
      <c r="D930" s="392" t="s">
        <v>2653</v>
      </c>
      <c r="E930" s="387">
        <v>351902</v>
      </c>
      <c r="F930" s="553" t="s">
        <v>2654</v>
      </c>
      <c r="G930" s="578">
        <v>77.95</v>
      </c>
      <c r="H930" s="532">
        <v>3087780</v>
      </c>
      <c r="J930" s="323" t="s">
        <v>2650</v>
      </c>
    </row>
    <row r="931" spans="1:10" x14ac:dyDescent="0.25">
      <c r="A931" s="321" t="s">
        <v>2579</v>
      </c>
      <c r="B931" s="323" t="s">
        <v>0</v>
      </c>
      <c r="C931" s="335" t="s">
        <v>238</v>
      </c>
      <c r="D931" s="392" t="s">
        <v>296</v>
      </c>
      <c r="E931" s="387">
        <v>351318</v>
      </c>
      <c r="F931" s="553" t="s">
        <v>2655</v>
      </c>
      <c r="G931" s="578">
        <v>78.95</v>
      </c>
      <c r="H931" s="532">
        <v>3098640</v>
      </c>
      <c r="J931" s="323" t="s">
        <v>2651</v>
      </c>
    </row>
    <row r="932" spans="1:10" x14ac:dyDescent="0.25">
      <c r="A932" s="321" t="s">
        <v>2579</v>
      </c>
      <c r="B932" s="323" t="s">
        <v>0</v>
      </c>
      <c r="C932" s="335" t="s">
        <v>238</v>
      </c>
      <c r="D932" s="392" t="s">
        <v>1392</v>
      </c>
      <c r="E932" s="387">
        <v>226206</v>
      </c>
      <c r="F932" s="553" t="s">
        <v>2656</v>
      </c>
      <c r="G932" s="578">
        <v>79.3</v>
      </c>
      <c r="H932" s="532">
        <v>3093359</v>
      </c>
      <c r="J932" s="323" t="s">
        <v>2652</v>
      </c>
    </row>
    <row r="933" spans="1:10" x14ac:dyDescent="0.25">
      <c r="A933" s="321" t="s">
        <v>2579</v>
      </c>
      <c r="B933" s="323" t="s">
        <v>0</v>
      </c>
      <c r="C933" s="335" t="s">
        <v>238</v>
      </c>
      <c r="D933" s="392" t="s">
        <v>2657</v>
      </c>
      <c r="E933" s="387">
        <v>353049</v>
      </c>
      <c r="F933" s="553"/>
      <c r="G933" s="578">
        <v>84.95</v>
      </c>
      <c r="H933" s="532"/>
      <c r="J933" s="323" t="s">
        <v>2374</v>
      </c>
    </row>
    <row r="934" spans="1:10" x14ac:dyDescent="0.25">
      <c r="A934" s="321" t="s">
        <v>2579</v>
      </c>
      <c r="B934" s="323" t="s">
        <v>0</v>
      </c>
      <c r="C934" s="335" t="s">
        <v>238</v>
      </c>
      <c r="D934" s="392" t="s">
        <v>1902</v>
      </c>
      <c r="E934" s="387">
        <v>351128</v>
      </c>
      <c r="F934" s="553" t="s">
        <v>2659</v>
      </c>
      <c r="G934" s="578">
        <v>90.95</v>
      </c>
      <c r="H934" s="532">
        <v>3093222</v>
      </c>
      <c r="J934" s="323" t="s">
        <v>2658</v>
      </c>
    </row>
    <row r="935" spans="1:10" x14ac:dyDescent="0.25">
      <c r="A935" s="321" t="s">
        <v>2579</v>
      </c>
      <c r="B935" s="323" t="s">
        <v>0</v>
      </c>
      <c r="C935" s="335" t="s">
        <v>238</v>
      </c>
      <c r="D935" s="392" t="s">
        <v>2375</v>
      </c>
      <c r="E935" s="387">
        <v>41</v>
      </c>
      <c r="F935" s="553" t="s">
        <v>2663</v>
      </c>
      <c r="G935" s="578">
        <v>95.95</v>
      </c>
      <c r="H935" s="532">
        <v>3097789</v>
      </c>
      <c r="J935" s="323" t="s">
        <v>2660</v>
      </c>
    </row>
    <row r="936" spans="1:10" x14ac:dyDescent="0.25">
      <c r="A936" s="321" t="s">
        <v>2579</v>
      </c>
      <c r="B936" s="323" t="s">
        <v>0</v>
      </c>
      <c r="C936" s="335" t="s">
        <v>238</v>
      </c>
      <c r="D936" s="392" t="s">
        <v>1990</v>
      </c>
      <c r="E936" s="387">
        <v>352453</v>
      </c>
      <c r="F936" s="553" t="s">
        <v>2664</v>
      </c>
      <c r="G936" s="578">
        <v>98.21</v>
      </c>
      <c r="H936" s="532">
        <v>3093894</v>
      </c>
      <c r="J936" s="323" t="s">
        <v>2661</v>
      </c>
    </row>
    <row r="937" spans="1:10" x14ac:dyDescent="0.25">
      <c r="A937" s="321" t="s">
        <v>2579</v>
      </c>
      <c r="B937" s="323" t="s">
        <v>0</v>
      </c>
      <c r="C937" s="335" t="s">
        <v>238</v>
      </c>
      <c r="D937" s="392" t="s">
        <v>1426</v>
      </c>
      <c r="E937" s="387">
        <v>351837</v>
      </c>
      <c r="F937" s="553" t="s">
        <v>2665</v>
      </c>
      <c r="G937" s="578">
        <v>99.78</v>
      </c>
      <c r="H937" s="532">
        <v>3098761</v>
      </c>
      <c r="J937" s="323" t="s">
        <v>2662</v>
      </c>
    </row>
    <row r="938" spans="1:10" x14ac:dyDescent="0.25">
      <c r="A938" s="321" t="s">
        <v>2579</v>
      </c>
      <c r="B938" s="323" t="s">
        <v>0</v>
      </c>
      <c r="C938" s="323" t="s">
        <v>2689</v>
      </c>
      <c r="D938" s="392" t="s">
        <v>2669</v>
      </c>
      <c r="E938" s="387">
        <v>350572</v>
      </c>
      <c r="F938" s="553" t="s">
        <v>2675</v>
      </c>
      <c r="G938" s="578">
        <v>107.26</v>
      </c>
      <c r="H938" s="588">
        <v>3088617</v>
      </c>
      <c r="J938" s="323" t="s">
        <v>2666</v>
      </c>
    </row>
    <row r="939" spans="1:10" x14ac:dyDescent="0.25">
      <c r="A939" s="321" t="s">
        <v>2579</v>
      </c>
      <c r="B939" s="323" t="s">
        <v>0</v>
      </c>
      <c r="C939" s="335" t="s">
        <v>238</v>
      </c>
      <c r="D939" s="392" t="s">
        <v>1488</v>
      </c>
      <c r="E939" s="387">
        <v>351780</v>
      </c>
      <c r="F939" s="553" t="s">
        <v>2676</v>
      </c>
      <c r="G939" s="578">
        <v>110.71</v>
      </c>
      <c r="H939" s="532">
        <v>3083394</v>
      </c>
      <c r="J939" s="323" t="s">
        <v>2667</v>
      </c>
    </row>
    <row r="940" spans="1:10" x14ac:dyDescent="0.25">
      <c r="A940" s="321" t="s">
        <v>2579</v>
      </c>
      <c r="B940" s="323" t="s">
        <v>0</v>
      </c>
      <c r="C940" s="335" t="s">
        <v>238</v>
      </c>
      <c r="D940" s="392" t="s">
        <v>1780</v>
      </c>
      <c r="E940" s="387">
        <v>350368</v>
      </c>
      <c r="F940" s="553" t="s">
        <v>2677</v>
      </c>
      <c r="G940" s="578">
        <v>90.05</v>
      </c>
      <c r="H940" s="532">
        <v>3095316</v>
      </c>
      <c r="J940" s="323" t="s">
        <v>2668</v>
      </c>
    </row>
    <row r="941" spans="1:10" x14ac:dyDescent="0.25">
      <c r="A941" s="321" t="s">
        <v>2579</v>
      </c>
      <c r="B941" s="323" t="s">
        <v>0</v>
      </c>
      <c r="C941" s="335" t="s">
        <v>238</v>
      </c>
      <c r="D941" s="392" t="s">
        <v>1780</v>
      </c>
      <c r="E941" s="387">
        <v>350368</v>
      </c>
      <c r="F941" s="553" t="s">
        <v>2678</v>
      </c>
      <c r="G941" s="578">
        <v>20.72</v>
      </c>
      <c r="H941" s="532">
        <v>3088438</v>
      </c>
      <c r="J941" s="323" t="s">
        <v>2668</v>
      </c>
    </row>
    <row r="942" spans="1:10" x14ac:dyDescent="0.25">
      <c r="A942" s="321" t="s">
        <v>2579</v>
      </c>
      <c r="B942" s="323" t="s">
        <v>0</v>
      </c>
      <c r="C942" s="335" t="s">
        <v>238</v>
      </c>
      <c r="D942" s="392" t="s">
        <v>2670</v>
      </c>
      <c r="E942" s="387">
        <v>352274</v>
      </c>
      <c r="F942" s="553" t="s">
        <v>2679</v>
      </c>
      <c r="G942" s="578">
        <v>129.91999999999999</v>
      </c>
      <c r="H942" s="532">
        <v>3094060</v>
      </c>
      <c r="J942" s="323" t="s">
        <v>2671</v>
      </c>
    </row>
    <row r="943" spans="1:10" x14ac:dyDescent="0.25">
      <c r="A943" s="321" t="s">
        <v>2579</v>
      </c>
      <c r="B943" s="323" t="s">
        <v>0</v>
      </c>
      <c r="C943" s="335" t="s">
        <v>238</v>
      </c>
      <c r="D943" s="392" t="s">
        <v>1970</v>
      </c>
      <c r="E943" s="387">
        <v>352312</v>
      </c>
      <c r="F943" s="553" t="s">
        <v>2680</v>
      </c>
      <c r="G943" s="578">
        <v>180.09</v>
      </c>
      <c r="H943" s="532">
        <v>3097365</v>
      </c>
      <c r="J943" s="323" t="s">
        <v>2672</v>
      </c>
    </row>
    <row r="944" spans="1:10" x14ac:dyDescent="0.25">
      <c r="A944" s="321" t="s">
        <v>2579</v>
      </c>
      <c r="B944" s="323" t="s">
        <v>0</v>
      </c>
      <c r="C944" s="335" t="s">
        <v>238</v>
      </c>
      <c r="D944" s="392" t="s">
        <v>2673</v>
      </c>
      <c r="E944" s="387">
        <v>352220</v>
      </c>
      <c r="F944" s="553" t="s">
        <v>2681</v>
      </c>
      <c r="G944" s="578">
        <v>153.58000000000001</v>
      </c>
      <c r="H944" s="532">
        <v>3066301</v>
      </c>
      <c r="J944" s="323" t="s">
        <v>2674</v>
      </c>
    </row>
    <row r="945" spans="1:10" x14ac:dyDescent="0.25">
      <c r="A945" s="321">
        <v>42856</v>
      </c>
      <c r="B945" s="323" t="s">
        <v>127</v>
      </c>
      <c r="D945" s="392" t="s">
        <v>181</v>
      </c>
      <c r="E945" s="387">
        <v>351215</v>
      </c>
      <c r="F945" s="553"/>
      <c r="G945" s="578">
        <v>64</v>
      </c>
      <c r="H945" s="532">
        <v>3074194</v>
      </c>
      <c r="J945" s="323" t="s">
        <v>182</v>
      </c>
    </row>
    <row r="946" spans="1:10" x14ac:dyDescent="0.25">
      <c r="A946" s="321">
        <v>42856</v>
      </c>
      <c r="B946" s="323" t="s">
        <v>127</v>
      </c>
      <c r="D946" s="392" t="s">
        <v>181</v>
      </c>
      <c r="E946" s="387">
        <v>351215</v>
      </c>
      <c r="F946" s="553"/>
      <c r="G946" s="578">
        <v>73.14</v>
      </c>
      <c r="H946" s="532">
        <v>3071045</v>
      </c>
      <c r="J946" s="323" t="s">
        <v>182</v>
      </c>
    </row>
    <row r="947" spans="1:10" x14ac:dyDescent="0.25">
      <c r="A947" s="321">
        <v>42857</v>
      </c>
      <c r="B947" s="323" t="s">
        <v>127</v>
      </c>
      <c r="D947" s="392" t="s">
        <v>181</v>
      </c>
      <c r="E947" s="387">
        <v>351215</v>
      </c>
      <c r="F947" s="553"/>
      <c r="G947" s="578">
        <v>237</v>
      </c>
      <c r="H947" s="532">
        <v>3077615</v>
      </c>
      <c r="J947" s="323" t="s">
        <v>182</v>
      </c>
    </row>
    <row r="948" spans="1:10" x14ac:dyDescent="0.25">
      <c r="A948" s="321">
        <v>42857</v>
      </c>
      <c r="B948" s="323" t="s">
        <v>127</v>
      </c>
      <c r="D948" s="392" t="s">
        <v>181</v>
      </c>
      <c r="E948" s="387">
        <v>351215</v>
      </c>
      <c r="F948" s="553"/>
      <c r="G948" s="578">
        <v>134.85</v>
      </c>
      <c r="H948" s="532">
        <v>3077118</v>
      </c>
      <c r="J948" s="323" t="s">
        <v>182</v>
      </c>
    </row>
    <row r="949" spans="1:10" x14ac:dyDescent="0.25">
      <c r="A949" s="321">
        <v>42857</v>
      </c>
      <c r="B949" s="323" t="s">
        <v>127</v>
      </c>
      <c r="D949" s="392" t="s">
        <v>181</v>
      </c>
      <c r="E949" s="387">
        <v>351215</v>
      </c>
      <c r="F949" s="553"/>
      <c r="G949" s="578">
        <v>70.52</v>
      </c>
      <c r="H949" s="532">
        <v>3080265</v>
      </c>
      <c r="J949" s="323" t="s">
        <v>182</v>
      </c>
    </row>
    <row r="950" spans="1:10" x14ac:dyDescent="0.25">
      <c r="A950" s="321">
        <v>42859</v>
      </c>
      <c r="B950" s="323" t="s">
        <v>127</v>
      </c>
      <c r="C950" s="584" t="s">
        <v>1997</v>
      </c>
      <c r="D950" s="392" t="s">
        <v>192</v>
      </c>
      <c r="E950" s="387">
        <v>223720</v>
      </c>
      <c r="F950" s="553"/>
      <c r="G950" s="578">
        <f>24.63+50.04</f>
        <v>74.67</v>
      </c>
      <c r="H950" s="532">
        <v>3091307</v>
      </c>
      <c r="J950" s="323" t="s">
        <v>2682</v>
      </c>
    </row>
    <row r="951" spans="1:10" x14ac:dyDescent="0.25">
      <c r="A951" s="321">
        <v>42856</v>
      </c>
      <c r="B951" s="323" t="s">
        <v>127</v>
      </c>
      <c r="C951" s="584" t="s">
        <v>1997</v>
      </c>
      <c r="D951" s="392" t="s">
        <v>214</v>
      </c>
      <c r="E951" s="387">
        <v>351307</v>
      </c>
      <c r="F951" s="553"/>
      <c r="G951" s="578">
        <f>4.33+47.62</f>
        <v>51.949999999999996</v>
      </c>
      <c r="H951" s="532">
        <v>3043100</v>
      </c>
      <c r="J951" s="323" t="s">
        <v>2683</v>
      </c>
    </row>
    <row r="952" spans="1:10" x14ac:dyDescent="0.25">
      <c r="A952" s="321">
        <v>42857</v>
      </c>
      <c r="B952" s="323" t="s">
        <v>127</v>
      </c>
      <c r="C952" s="584" t="s">
        <v>1997</v>
      </c>
      <c r="D952" s="392" t="s">
        <v>214</v>
      </c>
      <c r="E952" s="387">
        <v>351307</v>
      </c>
      <c r="F952" s="553"/>
      <c r="G952" s="578">
        <f>6.75+73.2</f>
        <v>79.95</v>
      </c>
      <c r="H952" s="532">
        <v>3076121</v>
      </c>
      <c r="J952" s="323" t="s">
        <v>2683</v>
      </c>
    </row>
    <row r="953" spans="1:10" x14ac:dyDescent="0.25">
      <c r="A953" s="321">
        <v>42857</v>
      </c>
      <c r="B953" s="323" t="s">
        <v>127</v>
      </c>
      <c r="C953" s="584" t="s">
        <v>1997</v>
      </c>
      <c r="D953" s="392" t="s">
        <v>214</v>
      </c>
      <c r="E953" s="387">
        <v>351307</v>
      </c>
      <c r="F953" s="553"/>
      <c r="G953" s="578">
        <f>3.29+36.62</f>
        <v>39.909999999999997</v>
      </c>
      <c r="H953" s="532">
        <v>3080871</v>
      </c>
      <c r="J953" s="323" t="s">
        <v>2683</v>
      </c>
    </row>
    <row r="954" spans="1:10" x14ac:dyDescent="0.25">
      <c r="A954" s="321">
        <v>42858</v>
      </c>
      <c r="B954" s="323" t="s">
        <v>127</v>
      </c>
      <c r="C954" s="584" t="s">
        <v>1997</v>
      </c>
      <c r="D954" s="392" t="s">
        <v>214</v>
      </c>
      <c r="E954" s="387">
        <v>351307</v>
      </c>
      <c r="F954" s="553"/>
      <c r="G954" s="578">
        <f>20.27+34.68</f>
        <v>54.95</v>
      </c>
      <c r="H954" s="532">
        <v>3086575</v>
      </c>
      <c r="J954" s="323" t="s">
        <v>2683</v>
      </c>
    </row>
    <row r="955" spans="1:10" x14ac:dyDescent="0.25">
      <c r="A955" s="321">
        <v>42858</v>
      </c>
      <c r="B955" s="323" t="s">
        <v>127</v>
      </c>
      <c r="C955" s="584" t="s">
        <v>1997</v>
      </c>
      <c r="D955" s="392" t="s">
        <v>214</v>
      </c>
      <c r="E955" s="387">
        <v>351307</v>
      </c>
      <c r="F955" s="553"/>
      <c r="G955" s="578">
        <f>3.47+70.43</f>
        <v>73.900000000000006</v>
      </c>
      <c r="H955" s="532">
        <v>6080332</v>
      </c>
      <c r="J955" s="323" t="s">
        <v>2683</v>
      </c>
    </row>
    <row r="956" spans="1:10" x14ac:dyDescent="0.25">
      <c r="A956" s="321">
        <v>42863</v>
      </c>
      <c r="B956" s="323" t="s">
        <v>127</v>
      </c>
      <c r="D956" s="392" t="s">
        <v>2574</v>
      </c>
      <c r="E956" s="387">
        <v>352823</v>
      </c>
      <c r="F956" s="553"/>
      <c r="G956" s="578">
        <f>54.87+91.46</f>
        <v>146.32999999999998</v>
      </c>
      <c r="H956" s="532">
        <v>3094087</v>
      </c>
      <c r="J956" s="323" t="s">
        <v>182</v>
      </c>
    </row>
    <row r="957" spans="1:10" x14ac:dyDescent="0.25">
      <c r="A957" s="321">
        <v>42863</v>
      </c>
      <c r="B957" s="323" t="s">
        <v>127</v>
      </c>
      <c r="D957" s="392" t="s">
        <v>181</v>
      </c>
      <c r="E957" s="387">
        <v>351215</v>
      </c>
      <c r="F957" s="553"/>
      <c r="G957" s="578">
        <v>133.9</v>
      </c>
      <c r="H957" s="532">
        <v>3093629</v>
      </c>
      <c r="J957" s="323" t="s">
        <v>182</v>
      </c>
    </row>
    <row r="958" spans="1:10" x14ac:dyDescent="0.25">
      <c r="A958" s="321">
        <v>42863</v>
      </c>
      <c r="B958" s="323" t="s">
        <v>127</v>
      </c>
      <c r="D958" s="392" t="s">
        <v>181</v>
      </c>
      <c r="E958" s="387">
        <v>351215</v>
      </c>
      <c r="F958" s="553"/>
      <c r="G958" s="578">
        <v>36.58</v>
      </c>
      <c r="H958" s="532">
        <v>3097403</v>
      </c>
      <c r="J958" s="323" t="s">
        <v>182</v>
      </c>
    </row>
    <row r="959" spans="1:10" x14ac:dyDescent="0.25">
      <c r="A959" s="321">
        <v>42863</v>
      </c>
      <c r="B959" s="323" t="s">
        <v>127</v>
      </c>
      <c r="D959" s="392" t="s">
        <v>181</v>
      </c>
      <c r="E959" s="387">
        <v>351215</v>
      </c>
      <c r="F959" s="553"/>
      <c r="G959" s="578">
        <v>163.08000000000001</v>
      </c>
      <c r="H959" s="532">
        <v>3101770</v>
      </c>
      <c r="J959" s="323" t="s">
        <v>182</v>
      </c>
    </row>
    <row r="960" spans="1:10" x14ac:dyDescent="0.25">
      <c r="A960" s="321">
        <v>42865</v>
      </c>
      <c r="B960" s="323" t="s">
        <v>127</v>
      </c>
      <c r="D960" s="392" t="s">
        <v>181</v>
      </c>
      <c r="E960" s="387">
        <v>351215</v>
      </c>
      <c r="F960" s="553"/>
      <c r="G960" s="578">
        <v>104.64</v>
      </c>
      <c r="H960" s="532">
        <v>3109380</v>
      </c>
      <c r="J960" s="323" t="s">
        <v>182</v>
      </c>
    </row>
    <row r="961" spans="1:10" x14ac:dyDescent="0.25">
      <c r="A961" s="321">
        <v>42866</v>
      </c>
      <c r="B961" s="323" t="s">
        <v>127</v>
      </c>
      <c r="D961" s="392" t="s">
        <v>181</v>
      </c>
      <c r="E961" s="387">
        <v>351215</v>
      </c>
      <c r="F961" s="553"/>
      <c r="G961" s="578">
        <v>131.1</v>
      </c>
      <c r="H961" s="532">
        <v>3115617</v>
      </c>
      <c r="J961" s="323" t="s">
        <v>182</v>
      </c>
    </row>
    <row r="962" spans="1:10" x14ac:dyDescent="0.25">
      <c r="A962" s="321">
        <v>42865</v>
      </c>
      <c r="B962" s="323" t="s">
        <v>127</v>
      </c>
      <c r="D962" s="392" t="s">
        <v>2130</v>
      </c>
      <c r="E962" s="387">
        <v>214122</v>
      </c>
      <c r="F962" s="553"/>
      <c r="G962" s="578">
        <f>10+57.2</f>
        <v>67.2</v>
      </c>
      <c r="H962" s="532">
        <v>3116236</v>
      </c>
      <c r="J962" s="323" t="s">
        <v>179</v>
      </c>
    </row>
    <row r="963" spans="1:10" x14ac:dyDescent="0.25">
      <c r="A963" s="321" t="s">
        <v>2692</v>
      </c>
      <c r="B963" s="323" t="s">
        <v>0</v>
      </c>
      <c r="C963" s="323" t="s">
        <v>2688</v>
      </c>
      <c r="D963" s="392" t="s">
        <v>2669</v>
      </c>
      <c r="E963" s="387">
        <v>350572</v>
      </c>
      <c r="F963" s="553" t="s">
        <v>2675</v>
      </c>
      <c r="G963" s="578">
        <v>-107.26</v>
      </c>
      <c r="H963" s="532">
        <v>3088617</v>
      </c>
      <c r="J963" s="323" t="s">
        <v>2686</v>
      </c>
    </row>
    <row r="964" spans="1:10" x14ac:dyDescent="0.25">
      <c r="A964" s="321" t="s">
        <v>2692</v>
      </c>
      <c r="B964" s="323" t="s">
        <v>0</v>
      </c>
      <c r="C964" s="323" t="s">
        <v>2688</v>
      </c>
      <c r="D964" s="392" t="s">
        <v>2584</v>
      </c>
      <c r="E964" s="387">
        <v>218515</v>
      </c>
      <c r="F964" s="553"/>
      <c r="G964" s="578">
        <v>-26.05</v>
      </c>
      <c r="H964" s="532"/>
      <c r="J964" s="323" t="s">
        <v>2693</v>
      </c>
    </row>
    <row r="965" spans="1:10" x14ac:dyDescent="0.25">
      <c r="A965" s="321" t="s">
        <v>2692</v>
      </c>
      <c r="B965" s="323" t="s">
        <v>0</v>
      </c>
      <c r="C965" s="335" t="s">
        <v>238</v>
      </c>
      <c r="D965" s="392" t="s">
        <v>2708</v>
      </c>
      <c r="E965" s="387">
        <v>162</v>
      </c>
      <c r="F965" s="553" t="s">
        <v>2705</v>
      </c>
      <c r="G965" s="578">
        <v>45.95</v>
      </c>
      <c r="H965" s="532">
        <v>3093827</v>
      </c>
      <c r="J965" s="323" t="s">
        <v>2701</v>
      </c>
    </row>
    <row r="966" spans="1:10" x14ac:dyDescent="0.25">
      <c r="A966" s="321" t="s">
        <v>2692</v>
      </c>
      <c r="B966" s="323" t="s">
        <v>0</v>
      </c>
      <c r="C966" s="335" t="s">
        <v>238</v>
      </c>
      <c r="D966" s="392" t="s">
        <v>2487</v>
      </c>
      <c r="E966" s="387">
        <v>352943</v>
      </c>
      <c r="F966" s="553" t="s">
        <v>2707</v>
      </c>
      <c r="G966" s="578">
        <v>51.9</v>
      </c>
      <c r="H966" s="532">
        <v>3099019</v>
      </c>
      <c r="J966" s="323" t="s">
        <v>2703</v>
      </c>
    </row>
    <row r="967" spans="1:10" x14ac:dyDescent="0.25">
      <c r="A967" s="321" t="s">
        <v>2692</v>
      </c>
      <c r="B967" s="323" t="s">
        <v>0</v>
      </c>
      <c r="D967" s="392" t="s">
        <v>2596</v>
      </c>
      <c r="E967" s="387">
        <v>352371</v>
      </c>
      <c r="F967" s="553" t="s">
        <v>2695</v>
      </c>
      <c r="G967" s="578">
        <v>11.55</v>
      </c>
      <c r="H967" s="532">
        <v>3099455</v>
      </c>
      <c r="J967" s="323" t="s">
        <v>2694</v>
      </c>
    </row>
    <row r="968" spans="1:10" x14ac:dyDescent="0.25">
      <c r="A968" s="321" t="s">
        <v>2692</v>
      </c>
      <c r="B968" s="323" t="s">
        <v>0</v>
      </c>
      <c r="C968" s="335" t="s">
        <v>238</v>
      </c>
      <c r="D968" s="392" t="s">
        <v>1619</v>
      </c>
      <c r="E968" s="387">
        <v>351988</v>
      </c>
      <c r="F968" s="553" t="s">
        <v>2734</v>
      </c>
      <c r="G968" s="578">
        <v>135.94999999999999</v>
      </c>
      <c r="H968" s="532">
        <v>3101845</v>
      </c>
      <c r="J968" s="323" t="s">
        <v>2726</v>
      </c>
    </row>
    <row r="969" spans="1:10" x14ac:dyDescent="0.25">
      <c r="A969" s="321" t="s">
        <v>2692</v>
      </c>
      <c r="B969" s="323" t="s">
        <v>0</v>
      </c>
      <c r="C969" s="335" t="s">
        <v>238</v>
      </c>
      <c r="D969" s="392" t="s">
        <v>1779</v>
      </c>
      <c r="E969" s="387">
        <v>352748</v>
      </c>
      <c r="F969" s="553" t="s">
        <v>2712</v>
      </c>
      <c r="G969" s="578">
        <v>58.1</v>
      </c>
      <c r="H969" s="532">
        <v>3102281</v>
      </c>
      <c r="J969" s="323" t="s">
        <v>2710</v>
      </c>
    </row>
    <row r="970" spans="1:10" x14ac:dyDescent="0.25">
      <c r="A970" s="321" t="s">
        <v>2692</v>
      </c>
      <c r="B970" s="323" t="s">
        <v>0</v>
      </c>
      <c r="C970" s="335" t="s">
        <v>238</v>
      </c>
      <c r="D970" s="392" t="s">
        <v>2225</v>
      </c>
      <c r="E970" s="387">
        <v>215404</v>
      </c>
      <c r="F970" s="553" t="s">
        <v>2697</v>
      </c>
      <c r="G970" s="578">
        <v>36.9</v>
      </c>
      <c r="H970" s="532">
        <v>3102811</v>
      </c>
      <c r="J970" s="323" t="s">
        <v>2696</v>
      </c>
    </row>
    <row r="971" spans="1:10" x14ac:dyDescent="0.25">
      <c r="A971" s="321" t="s">
        <v>2692</v>
      </c>
      <c r="B971" s="323" t="s">
        <v>0</v>
      </c>
      <c r="C971" s="323" t="s">
        <v>238</v>
      </c>
      <c r="D971" s="392" t="s">
        <v>2270</v>
      </c>
      <c r="E971" s="387">
        <v>352661</v>
      </c>
      <c r="F971" s="553" t="s">
        <v>2699</v>
      </c>
      <c r="G971" s="578">
        <v>37.9</v>
      </c>
      <c r="H971" s="532">
        <v>3103158</v>
      </c>
      <c r="J971" s="323" t="s">
        <v>2698</v>
      </c>
    </row>
    <row r="972" spans="1:10" x14ac:dyDescent="0.25">
      <c r="A972" s="321" t="s">
        <v>2692</v>
      </c>
      <c r="B972" s="323" t="s">
        <v>0</v>
      </c>
      <c r="C972" s="335" t="s">
        <v>238</v>
      </c>
      <c r="D972" s="392" t="s">
        <v>1424</v>
      </c>
      <c r="E972" s="387">
        <v>226192</v>
      </c>
      <c r="F972" s="553" t="s">
        <v>2721</v>
      </c>
      <c r="G972" s="578">
        <v>79.900000000000006</v>
      </c>
      <c r="H972" s="532">
        <v>3103653</v>
      </c>
      <c r="J972" s="323" t="s">
        <v>2720</v>
      </c>
    </row>
    <row r="973" spans="1:10" x14ac:dyDescent="0.25">
      <c r="A973" s="321" t="s">
        <v>2692</v>
      </c>
      <c r="B973" s="323" t="s">
        <v>0</v>
      </c>
      <c r="C973" s="335" t="s">
        <v>238</v>
      </c>
      <c r="D973" s="392" t="s">
        <v>2486</v>
      </c>
      <c r="E973" s="387">
        <v>352800</v>
      </c>
      <c r="F973" s="553" t="s">
        <v>2732</v>
      </c>
      <c r="G973" s="578">
        <v>171.96</v>
      </c>
      <c r="H973" s="532">
        <v>3107978</v>
      </c>
      <c r="J973" s="323" t="s">
        <v>2724</v>
      </c>
    </row>
    <row r="974" spans="1:10" x14ac:dyDescent="0.25">
      <c r="A974" s="321" t="s">
        <v>2692</v>
      </c>
      <c r="B974" s="323" t="s">
        <v>0</v>
      </c>
      <c r="C974" s="335" t="s">
        <v>238</v>
      </c>
      <c r="D974" s="392" t="s">
        <v>2709</v>
      </c>
      <c r="E974" s="387">
        <v>226205</v>
      </c>
      <c r="F974" s="553" t="s">
        <v>2706</v>
      </c>
      <c r="G974" s="578">
        <v>49.5</v>
      </c>
      <c r="H974" s="532">
        <v>3110769</v>
      </c>
      <c r="J974" s="323" t="s">
        <v>2702</v>
      </c>
    </row>
    <row r="975" spans="1:10" x14ac:dyDescent="0.25">
      <c r="A975" s="321" t="s">
        <v>2692</v>
      </c>
      <c r="B975" s="323" t="s">
        <v>0</v>
      </c>
      <c r="C975" s="335" t="s">
        <v>238</v>
      </c>
      <c r="D975" s="392" t="s">
        <v>2208</v>
      </c>
      <c r="E975" s="387">
        <v>212962</v>
      </c>
      <c r="F975" s="553" t="s">
        <v>2713</v>
      </c>
      <c r="G975" s="578">
        <v>60.25</v>
      </c>
      <c r="H975" s="532">
        <v>3111576</v>
      </c>
      <c r="J975" s="323" t="s">
        <v>2711</v>
      </c>
    </row>
    <row r="976" spans="1:10" x14ac:dyDescent="0.25">
      <c r="A976" s="321" t="s">
        <v>2692</v>
      </c>
      <c r="B976" s="323" t="s">
        <v>0</v>
      </c>
      <c r="C976" s="335" t="s">
        <v>238</v>
      </c>
      <c r="D976" s="392" t="s">
        <v>2357</v>
      </c>
      <c r="E976" s="387">
        <v>351472</v>
      </c>
      <c r="F976" s="553" t="s">
        <v>2704</v>
      </c>
      <c r="G976" s="578">
        <v>40.53</v>
      </c>
      <c r="H976" s="532">
        <v>3114414</v>
      </c>
      <c r="J976" s="323" t="s">
        <v>2700</v>
      </c>
    </row>
    <row r="977" spans="1:10" x14ac:dyDescent="0.25">
      <c r="A977" s="321" t="s">
        <v>2692</v>
      </c>
      <c r="B977" s="323" t="s">
        <v>0</v>
      </c>
      <c r="C977" s="335" t="s">
        <v>238</v>
      </c>
      <c r="D977" s="392" t="s">
        <v>2035</v>
      </c>
      <c r="E977" s="387">
        <v>350520</v>
      </c>
      <c r="F977" s="553" t="s">
        <v>2719</v>
      </c>
      <c r="G977" s="578">
        <v>74.14</v>
      </c>
      <c r="H977" s="532">
        <v>3119704</v>
      </c>
      <c r="J977" s="323" t="s">
        <v>2718</v>
      </c>
    </row>
    <row r="978" spans="1:10" x14ac:dyDescent="0.25">
      <c r="A978" s="321" t="s">
        <v>2692</v>
      </c>
      <c r="B978" s="323" t="s">
        <v>0</v>
      </c>
      <c r="C978" s="335" t="s">
        <v>238</v>
      </c>
      <c r="D978" s="392" t="s">
        <v>2153</v>
      </c>
      <c r="E978" s="387">
        <v>351194</v>
      </c>
      <c r="F978" s="553" t="s">
        <v>2717</v>
      </c>
      <c r="G978" s="578">
        <v>71.95</v>
      </c>
      <c r="H978" s="532">
        <v>3121537</v>
      </c>
      <c r="J978" s="323" t="s">
        <v>2716</v>
      </c>
    </row>
    <row r="979" spans="1:10" x14ac:dyDescent="0.25">
      <c r="A979" s="321" t="s">
        <v>2692</v>
      </c>
      <c r="B979" s="323" t="s">
        <v>0</v>
      </c>
      <c r="C979" s="335" t="s">
        <v>238</v>
      </c>
      <c r="D979" s="392" t="s">
        <v>2269</v>
      </c>
      <c r="E979" s="387">
        <v>351251</v>
      </c>
      <c r="F979" s="553" t="s">
        <v>2715</v>
      </c>
      <c r="G979" s="578">
        <v>64.81</v>
      </c>
      <c r="H979" s="532">
        <v>3121980</v>
      </c>
      <c r="J979" s="323" t="s">
        <v>2714</v>
      </c>
    </row>
    <row r="980" spans="1:10" x14ac:dyDescent="0.25">
      <c r="A980" s="321" t="s">
        <v>2692</v>
      </c>
      <c r="B980" s="323" t="s">
        <v>0</v>
      </c>
      <c r="C980" s="335" t="s">
        <v>238</v>
      </c>
      <c r="D980" s="392" t="s">
        <v>1470</v>
      </c>
      <c r="E980" s="387">
        <v>350586</v>
      </c>
      <c r="F980" s="553" t="s">
        <v>2736</v>
      </c>
      <c r="G980" s="578">
        <v>291.02</v>
      </c>
      <c r="H980" s="532">
        <v>3122213</v>
      </c>
      <c r="J980" s="323" t="s">
        <v>2737</v>
      </c>
    </row>
    <row r="981" spans="1:10" x14ac:dyDescent="0.25">
      <c r="A981" s="321" t="s">
        <v>2692</v>
      </c>
      <c r="B981" s="323" t="s">
        <v>0</v>
      </c>
      <c r="C981" s="335" t="s">
        <v>238</v>
      </c>
      <c r="D981" s="392" t="s">
        <v>2728</v>
      </c>
      <c r="E981" s="387">
        <v>350329</v>
      </c>
      <c r="F981" s="553" t="s">
        <v>2731</v>
      </c>
      <c r="G981" s="578">
        <v>125.81</v>
      </c>
      <c r="H981" s="532">
        <v>3123521</v>
      </c>
      <c r="J981" s="323" t="s">
        <v>2722</v>
      </c>
    </row>
    <row r="982" spans="1:10" x14ac:dyDescent="0.25">
      <c r="A982" s="321" t="s">
        <v>2692</v>
      </c>
      <c r="B982" s="323" t="s">
        <v>0</v>
      </c>
      <c r="C982" s="323" t="s">
        <v>2689</v>
      </c>
      <c r="D982" s="392" t="s">
        <v>2691</v>
      </c>
      <c r="E982" s="387">
        <v>351836</v>
      </c>
      <c r="F982" s="553" t="s">
        <v>2690</v>
      </c>
      <c r="G982" s="578">
        <v>69.95</v>
      </c>
      <c r="H982" s="532">
        <v>3124237</v>
      </c>
      <c r="J982" s="323" t="s">
        <v>2687</v>
      </c>
    </row>
    <row r="983" spans="1:10" x14ac:dyDescent="0.25">
      <c r="A983" s="321" t="s">
        <v>2692</v>
      </c>
      <c r="B983" s="323" t="s">
        <v>0</v>
      </c>
      <c r="C983" s="335" t="s">
        <v>238</v>
      </c>
      <c r="D983" s="392" t="s">
        <v>2729</v>
      </c>
      <c r="E983" s="387">
        <v>350799</v>
      </c>
      <c r="F983" s="553" t="s">
        <v>2733</v>
      </c>
      <c r="G983" s="578">
        <v>188.95</v>
      </c>
      <c r="H983" s="532">
        <v>3124277</v>
      </c>
      <c r="J983" s="323" t="s">
        <v>2725</v>
      </c>
    </row>
    <row r="984" spans="1:10" x14ac:dyDescent="0.25">
      <c r="A984" s="321" t="s">
        <v>2692</v>
      </c>
      <c r="B984" s="323" t="s">
        <v>0</v>
      </c>
      <c r="C984" s="335" t="s">
        <v>238</v>
      </c>
      <c r="D984" s="392" t="s">
        <v>2730</v>
      </c>
      <c r="E984" s="387">
        <v>351109</v>
      </c>
      <c r="F984" s="553" t="s">
        <v>2735</v>
      </c>
      <c r="G984" s="578">
        <v>261.75</v>
      </c>
      <c r="H984" s="532">
        <v>3125335</v>
      </c>
      <c r="J984" s="323" t="s">
        <v>2727</v>
      </c>
    </row>
    <row r="985" spans="1:10" x14ac:dyDescent="0.25">
      <c r="A985" s="321" t="s">
        <v>2692</v>
      </c>
      <c r="B985" s="323" t="s">
        <v>0</v>
      </c>
      <c r="C985" s="335" t="s">
        <v>238</v>
      </c>
      <c r="D985" s="392" t="s">
        <v>2467</v>
      </c>
      <c r="E985" s="387">
        <v>353208</v>
      </c>
      <c r="F985" s="553"/>
      <c r="G985" s="578">
        <f>58.9+95.95</f>
        <v>154.85</v>
      </c>
      <c r="H985" s="532"/>
      <c r="J985" s="323" t="s">
        <v>2723</v>
      </c>
    </row>
    <row r="986" spans="1:10" x14ac:dyDescent="0.25">
      <c r="A986" s="321" t="s">
        <v>2692</v>
      </c>
      <c r="B986" s="323" t="s">
        <v>0</v>
      </c>
      <c r="C986" s="323" t="s">
        <v>2688</v>
      </c>
      <c r="D986" s="392" t="s">
        <v>2639</v>
      </c>
      <c r="E986" s="387">
        <v>351384</v>
      </c>
      <c r="F986" s="553" t="s">
        <v>2637</v>
      </c>
      <c r="G986" s="578">
        <v>-63.05</v>
      </c>
      <c r="H986" s="532">
        <v>3090159</v>
      </c>
      <c r="J986" s="323" t="s">
        <v>2738</v>
      </c>
    </row>
    <row r="987" spans="1:10" x14ac:dyDescent="0.25">
      <c r="A987" s="321" t="s">
        <v>2692</v>
      </c>
      <c r="B987" s="323" t="s">
        <v>58</v>
      </c>
      <c r="D987" s="392" t="s">
        <v>2639</v>
      </c>
      <c r="E987" s="387">
        <v>351384</v>
      </c>
      <c r="F987" s="553" t="s">
        <v>2637</v>
      </c>
      <c r="G987" s="578">
        <v>-63.05</v>
      </c>
      <c r="H987" s="532">
        <v>3090159</v>
      </c>
      <c r="J987" s="323" t="s">
        <v>2739</v>
      </c>
    </row>
    <row r="988" spans="1:10" x14ac:dyDescent="0.25">
      <c r="A988" s="321" t="s">
        <v>2692</v>
      </c>
      <c r="B988" s="323" t="s">
        <v>58</v>
      </c>
      <c r="D988" s="392" t="s">
        <v>2639</v>
      </c>
      <c r="E988" s="387">
        <v>351384</v>
      </c>
      <c r="F988" s="553" t="s">
        <v>2637</v>
      </c>
      <c r="G988" s="578">
        <v>-63.05</v>
      </c>
      <c r="H988" s="532">
        <v>3090159</v>
      </c>
      <c r="J988" s="323" t="s">
        <v>2739</v>
      </c>
    </row>
    <row r="989" spans="1:10" x14ac:dyDescent="0.25">
      <c r="A989" s="321" t="s">
        <v>2692</v>
      </c>
      <c r="B989" s="323" t="s">
        <v>58</v>
      </c>
      <c r="D989" s="392" t="s">
        <v>2639</v>
      </c>
      <c r="E989" s="387">
        <v>351384</v>
      </c>
      <c r="F989" s="553" t="s">
        <v>2637</v>
      </c>
      <c r="G989" s="578">
        <v>-63.05</v>
      </c>
      <c r="H989" s="532">
        <v>3090159</v>
      </c>
      <c r="J989" s="323" t="s">
        <v>2739</v>
      </c>
    </row>
    <row r="990" spans="1:10" x14ac:dyDescent="0.25">
      <c r="A990" s="321" t="s">
        <v>2692</v>
      </c>
      <c r="B990" s="323" t="s">
        <v>0</v>
      </c>
      <c r="C990" s="323" t="s">
        <v>2688</v>
      </c>
      <c r="D990" s="392" t="s">
        <v>2691</v>
      </c>
      <c r="E990" s="387">
        <v>351836</v>
      </c>
      <c r="F990" s="553" t="s">
        <v>2690</v>
      </c>
      <c r="G990" s="578">
        <v>-69.95</v>
      </c>
      <c r="H990" s="532">
        <v>3124237</v>
      </c>
      <c r="J990" s="323" t="s">
        <v>2951</v>
      </c>
    </row>
    <row r="991" spans="1:10" x14ac:dyDescent="0.25">
      <c r="A991" s="321" t="s">
        <v>2740</v>
      </c>
      <c r="B991" s="323" t="s">
        <v>2741</v>
      </c>
      <c r="D991" s="392" t="s">
        <v>2742</v>
      </c>
      <c r="E991" s="387">
        <v>351440</v>
      </c>
      <c r="F991" s="553" t="s">
        <v>2743</v>
      </c>
      <c r="G991" s="578">
        <v>66.239999999999995</v>
      </c>
      <c r="H991" s="532">
        <v>3145144</v>
      </c>
      <c r="J991" s="323" t="s">
        <v>2744</v>
      </c>
    </row>
    <row r="992" spans="1:10" x14ac:dyDescent="0.25">
      <c r="A992" s="321" t="s">
        <v>2740</v>
      </c>
      <c r="B992" s="323" t="s">
        <v>0</v>
      </c>
      <c r="D992" s="392">
        <v>376271259990</v>
      </c>
      <c r="E992" s="387">
        <v>351440</v>
      </c>
      <c r="F992" s="553" t="s">
        <v>2743</v>
      </c>
      <c r="G992" s="578">
        <v>-66.239999999999995</v>
      </c>
      <c r="H992" s="532">
        <v>3145144</v>
      </c>
      <c r="J992" s="323" t="s">
        <v>2745</v>
      </c>
    </row>
    <row r="993" spans="1:10" x14ac:dyDescent="0.25">
      <c r="A993" s="321" t="s">
        <v>2740</v>
      </c>
      <c r="B993" s="323" t="s">
        <v>0</v>
      </c>
      <c r="D993" s="392">
        <v>376271259990</v>
      </c>
      <c r="E993" s="387">
        <v>351440</v>
      </c>
      <c r="F993" s="553" t="s">
        <v>2743</v>
      </c>
      <c r="G993" s="578">
        <v>-66.239999999999995</v>
      </c>
      <c r="H993" s="532">
        <v>3145144</v>
      </c>
      <c r="J993" s="323" t="s">
        <v>2746</v>
      </c>
    </row>
    <row r="994" spans="1:10" x14ac:dyDescent="0.25">
      <c r="A994" s="321" t="s">
        <v>2740</v>
      </c>
      <c r="B994" s="323" t="s">
        <v>0</v>
      </c>
      <c r="D994" s="392">
        <v>376271259990</v>
      </c>
      <c r="E994" s="387">
        <v>351440</v>
      </c>
      <c r="F994" s="553" t="s">
        <v>2743</v>
      </c>
      <c r="G994" s="578">
        <v>-66.239999999999995</v>
      </c>
      <c r="H994" s="532">
        <v>3145144</v>
      </c>
      <c r="J994" s="323" t="s">
        <v>2746</v>
      </c>
    </row>
    <row r="995" spans="1:10" x14ac:dyDescent="0.25">
      <c r="A995" s="321" t="s">
        <v>2740</v>
      </c>
      <c r="B995" s="323" t="s">
        <v>0</v>
      </c>
      <c r="D995" s="392">
        <v>376271259990</v>
      </c>
      <c r="E995" s="387">
        <v>351440</v>
      </c>
      <c r="F995" s="553" t="s">
        <v>2743</v>
      </c>
      <c r="G995" s="578">
        <v>-66.239999999999995</v>
      </c>
      <c r="H995" s="532">
        <v>3145144</v>
      </c>
      <c r="J995" s="323" t="s">
        <v>2746</v>
      </c>
    </row>
    <row r="996" spans="1:10" x14ac:dyDescent="0.25">
      <c r="A996" s="321" t="s">
        <v>2740</v>
      </c>
      <c r="B996" s="323" t="s">
        <v>0</v>
      </c>
      <c r="D996" s="392">
        <v>376271259990</v>
      </c>
      <c r="E996" s="387">
        <v>351440</v>
      </c>
      <c r="F996" s="553" t="s">
        <v>2743</v>
      </c>
      <c r="G996" s="578">
        <v>-66.239999999999995</v>
      </c>
      <c r="H996" s="532">
        <v>3145144</v>
      </c>
      <c r="J996" s="323" t="s">
        <v>2746</v>
      </c>
    </row>
    <row r="997" spans="1:10" x14ac:dyDescent="0.25">
      <c r="A997" s="321" t="s">
        <v>2740</v>
      </c>
      <c r="B997" s="323" t="s">
        <v>0</v>
      </c>
      <c r="C997" s="335" t="s">
        <v>238</v>
      </c>
      <c r="D997" s="392" t="s">
        <v>271</v>
      </c>
      <c r="E997" s="387">
        <v>1082</v>
      </c>
      <c r="F997" s="553" t="s">
        <v>2748</v>
      </c>
      <c r="G997" s="578">
        <v>52.15</v>
      </c>
      <c r="H997" s="532">
        <v>3151616</v>
      </c>
      <c r="J997" s="323" t="s">
        <v>2747</v>
      </c>
    </row>
    <row r="998" spans="1:10" x14ac:dyDescent="0.25">
      <c r="A998" s="321" t="s">
        <v>2740</v>
      </c>
      <c r="B998" s="323" t="s">
        <v>0</v>
      </c>
      <c r="C998" s="335" t="s">
        <v>238</v>
      </c>
      <c r="D998" s="392" t="s">
        <v>2151</v>
      </c>
      <c r="E998" s="387">
        <v>213229</v>
      </c>
      <c r="F998" s="553" t="s">
        <v>2750</v>
      </c>
      <c r="G998" s="578">
        <v>63.73</v>
      </c>
      <c r="H998" s="532">
        <v>3145310</v>
      </c>
      <c r="J998" s="323" t="s">
        <v>2749</v>
      </c>
    </row>
    <row r="999" spans="1:10" x14ac:dyDescent="0.25">
      <c r="A999" s="321" t="s">
        <v>2740</v>
      </c>
      <c r="B999" s="323" t="s">
        <v>0</v>
      </c>
      <c r="C999" s="335" t="s">
        <v>238</v>
      </c>
      <c r="D999" s="392" t="s">
        <v>2753</v>
      </c>
      <c r="E999" s="387">
        <v>352489</v>
      </c>
      <c r="F999" s="553" t="s">
        <v>2752</v>
      </c>
      <c r="G999" s="578">
        <v>89.95</v>
      </c>
      <c r="H999" s="532">
        <v>3139712</v>
      </c>
      <c r="J999" s="323" t="s">
        <v>2751</v>
      </c>
    </row>
    <row r="1000" spans="1:10" x14ac:dyDescent="0.25">
      <c r="A1000" s="321" t="s">
        <v>2740</v>
      </c>
      <c r="B1000" s="323" t="s">
        <v>0</v>
      </c>
      <c r="C1000" s="335" t="s">
        <v>238</v>
      </c>
      <c r="D1000" s="392" t="s">
        <v>2754</v>
      </c>
      <c r="E1000" s="387">
        <v>217878</v>
      </c>
      <c r="F1000" s="553" t="s">
        <v>2758</v>
      </c>
      <c r="G1000" s="578">
        <v>105.9</v>
      </c>
      <c r="H1000" s="532">
        <v>3140795</v>
      </c>
      <c r="J1000" s="323" t="s">
        <v>2756</v>
      </c>
    </row>
    <row r="1001" spans="1:10" x14ac:dyDescent="0.25">
      <c r="A1001" s="321" t="s">
        <v>2740</v>
      </c>
      <c r="B1001" s="323" t="s">
        <v>0</v>
      </c>
      <c r="C1001" s="335" t="s">
        <v>238</v>
      </c>
      <c r="D1001" s="392" t="s">
        <v>2755</v>
      </c>
      <c r="E1001" s="387">
        <v>351151</v>
      </c>
      <c r="F1001" s="553" t="s">
        <v>2759</v>
      </c>
      <c r="G1001" s="578">
        <v>105.95</v>
      </c>
      <c r="H1001" s="532">
        <v>3141661</v>
      </c>
      <c r="J1001" s="323" t="s">
        <v>2757</v>
      </c>
    </row>
    <row r="1002" spans="1:10" x14ac:dyDescent="0.25">
      <c r="A1002" s="321" t="s">
        <v>2740</v>
      </c>
      <c r="B1002" s="323" t="s">
        <v>0</v>
      </c>
      <c r="C1002" s="335" t="s">
        <v>238</v>
      </c>
      <c r="D1002" s="392" t="s">
        <v>1024</v>
      </c>
      <c r="E1002" s="387">
        <v>352074</v>
      </c>
      <c r="F1002" s="553" t="s">
        <v>2761</v>
      </c>
      <c r="G1002" s="578">
        <v>137.75</v>
      </c>
      <c r="H1002" s="532">
        <v>3136129</v>
      </c>
      <c r="J1002" s="323" t="s">
        <v>2760</v>
      </c>
    </row>
    <row r="1003" spans="1:10" x14ac:dyDescent="0.25">
      <c r="A1003" s="321" t="s">
        <v>2740</v>
      </c>
      <c r="B1003" s="323" t="s">
        <v>0</v>
      </c>
      <c r="C1003" s="335" t="s">
        <v>238</v>
      </c>
      <c r="D1003" s="392" t="s">
        <v>2762</v>
      </c>
      <c r="E1003" s="387">
        <v>351399</v>
      </c>
      <c r="F1003" s="553" t="s">
        <v>2763</v>
      </c>
      <c r="G1003" s="578">
        <v>168.49</v>
      </c>
      <c r="H1003" s="532">
        <v>3152719</v>
      </c>
      <c r="J1003" s="323" t="s">
        <v>2764</v>
      </c>
    </row>
    <row r="1004" spans="1:10" x14ac:dyDescent="0.25">
      <c r="A1004" s="321" t="s">
        <v>2740</v>
      </c>
      <c r="B1004" s="323" t="s">
        <v>0</v>
      </c>
      <c r="C1004" s="335" t="s">
        <v>238</v>
      </c>
      <c r="D1004" s="392" t="s">
        <v>2769</v>
      </c>
      <c r="E1004" s="387">
        <v>351138</v>
      </c>
      <c r="F1004" s="553" t="s">
        <v>2767</v>
      </c>
      <c r="G1004" s="578">
        <v>213.38</v>
      </c>
      <c r="H1004" s="532">
        <v>3141659</v>
      </c>
      <c r="J1004" s="323" t="s">
        <v>2765</v>
      </c>
    </row>
    <row r="1005" spans="1:10" x14ac:dyDescent="0.25">
      <c r="A1005" s="321" t="s">
        <v>2740</v>
      </c>
      <c r="B1005" s="323" t="s">
        <v>0</v>
      </c>
      <c r="C1005" s="335" t="s">
        <v>238</v>
      </c>
      <c r="D1005" s="392" t="s">
        <v>2152</v>
      </c>
      <c r="E1005" s="387">
        <v>351558</v>
      </c>
      <c r="F1005" s="553" t="s">
        <v>2768</v>
      </c>
      <c r="G1005" s="578">
        <v>214.37</v>
      </c>
      <c r="H1005" s="532">
        <v>3152718</v>
      </c>
      <c r="J1005" s="323" t="s">
        <v>2766</v>
      </c>
    </row>
    <row r="1006" spans="1:10" x14ac:dyDescent="0.25">
      <c r="A1006" s="321" t="s">
        <v>2740</v>
      </c>
      <c r="B1006" s="323" t="s">
        <v>0</v>
      </c>
      <c r="C1006" s="335" t="s">
        <v>238</v>
      </c>
      <c r="D1006" s="392" t="s">
        <v>2770</v>
      </c>
      <c r="E1006" s="387">
        <v>351117</v>
      </c>
      <c r="F1006" s="553" t="s">
        <v>2771</v>
      </c>
      <c r="G1006" s="578">
        <v>289.89999999999998</v>
      </c>
      <c r="H1006" s="532">
        <v>3144971</v>
      </c>
      <c r="J1006" s="323" t="s">
        <v>2772</v>
      </c>
    </row>
    <row r="1007" spans="1:10" x14ac:dyDescent="0.25">
      <c r="A1007" s="321">
        <v>42871</v>
      </c>
      <c r="B1007" s="323" t="s">
        <v>127</v>
      </c>
      <c r="D1007" s="392" t="s">
        <v>2574</v>
      </c>
      <c r="E1007" s="387">
        <v>352823</v>
      </c>
      <c r="F1007" s="553"/>
      <c r="G1007" s="578">
        <f>146.08+31.49</f>
        <v>177.57000000000002</v>
      </c>
      <c r="H1007" s="532">
        <v>3114670</v>
      </c>
      <c r="J1007" s="323" t="s">
        <v>2773</v>
      </c>
    </row>
    <row r="1008" spans="1:10" x14ac:dyDescent="0.25">
      <c r="A1008" s="321">
        <v>42870.261041666665</v>
      </c>
      <c r="B1008" s="323" t="s">
        <v>127</v>
      </c>
      <c r="D1008" s="392" t="s">
        <v>181</v>
      </c>
      <c r="E1008" s="387">
        <v>351215</v>
      </c>
      <c r="F1008" s="553"/>
      <c r="G1008" s="578">
        <v>69.599999999999994</v>
      </c>
      <c r="H1008" s="532">
        <v>3133838</v>
      </c>
      <c r="J1008" s="323" t="s">
        <v>2773</v>
      </c>
    </row>
    <row r="1009" spans="1:10" x14ac:dyDescent="0.25">
      <c r="A1009" s="321">
        <v>42871.472083333334</v>
      </c>
      <c r="B1009" s="323" t="s">
        <v>127</v>
      </c>
      <c r="D1009" s="392" t="s">
        <v>181</v>
      </c>
      <c r="E1009" s="387">
        <v>351215</v>
      </c>
      <c r="F1009" s="553"/>
      <c r="G1009" s="578">
        <v>132.68</v>
      </c>
      <c r="H1009" s="532">
        <v>3129932</v>
      </c>
      <c r="J1009" s="323" t="s">
        <v>2773</v>
      </c>
    </row>
    <row r="1010" spans="1:10" x14ac:dyDescent="0.25">
      <c r="A1010" s="321">
        <v>42874.044942129629</v>
      </c>
      <c r="B1010" s="323" t="s">
        <v>127</v>
      </c>
      <c r="D1010" s="392" t="s">
        <v>181</v>
      </c>
      <c r="E1010" s="387">
        <v>351215</v>
      </c>
      <c r="F1010" s="553"/>
      <c r="G1010" s="578">
        <v>186.82</v>
      </c>
      <c r="H1010" s="532">
        <v>3148964</v>
      </c>
      <c r="J1010" s="323" t="s">
        <v>2773</v>
      </c>
    </row>
    <row r="1011" spans="1:10" x14ac:dyDescent="0.25">
      <c r="A1011" s="321">
        <v>42874.146319444444</v>
      </c>
      <c r="B1011" s="323" t="s">
        <v>127</v>
      </c>
      <c r="D1011" s="392" t="s">
        <v>181</v>
      </c>
      <c r="E1011" s="387">
        <v>351215</v>
      </c>
      <c r="F1011" s="553"/>
      <c r="G1011" s="578">
        <v>212</v>
      </c>
      <c r="H1011" s="532">
        <v>3147664</v>
      </c>
      <c r="J1011" s="323" t="s">
        <v>2773</v>
      </c>
    </row>
    <row r="1012" spans="1:10" x14ac:dyDescent="0.25">
      <c r="A1012" s="321">
        <v>42874.501226851855</v>
      </c>
      <c r="B1012" s="323" t="s">
        <v>127</v>
      </c>
      <c r="D1012" s="392" t="s">
        <v>181</v>
      </c>
      <c r="E1012" s="387">
        <v>351215</v>
      </c>
      <c r="F1012" s="553"/>
      <c r="G1012" s="578">
        <v>75.98</v>
      </c>
      <c r="H1012" s="532">
        <v>3147993</v>
      </c>
      <c r="J1012" s="323" t="s">
        <v>2773</v>
      </c>
    </row>
    <row r="1013" spans="1:10" x14ac:dyDescent="0.25">
      <c r="A1013" s="321">
        <v>42871</v>
      </c>
      <c r="B1013" s="323" t="s">
        <v>127</v>
      </c>
      <c r="D1013" s="392" t="s">
        <v>2774</v>
      </c>
      <c r="E1013" s="387">
        <v>352706</v>
      </c>
      <c r="F1013" s="553"/>
      <c r="G1013" s="578">
        <v>96.54</v>
      </c>
      <c r="H1013" s="532">
        <v>3139346</v>
      </c>
      <c r="J1013" s="323" t="s">
        <v>2775</v>
      </c>
    </row>
    <row r="1014" spans="1:10" x14ac:dyDescent="0.25">
      <c r="A1014" s="321">
        <v>42873</v>
      </c>
      <c r="B1014" s="323" t="s">
        <v>127</v>
      </c>
      <c r="D1014" s="392" t="s">
        <v>2130</v>
      </c>
      <c r="E1014" s="387">
        <v>214122</v>
      </c>
      <c r="F1014" s="553"/>
      <c r="G1014" s="578">
        <v>32.950000000000003</v>
      </c>
      <c r="H1014" s="532">
        <v>3143210</v>
      </c>
      <c r="J1014" s="323" t="s">
        <v>2776</v>
      </c>
    </row>
    <row r="1015" spans="1:10" x14ac:dyDescent="0.25">
      <c r="A1015" s="321">
        <v>42877</v>
      </c>
      <c r="B1015" s="323" t="s">
        <v>127</v>
      </c>
      <c r="D1015" s="392" t="s">
        <v>181</v>
      </c>
      <c r="E1015" s="387">
        <v>351215</v>
      </c>
      <c r="F1015" s="553"/>
      <c r="G1015" s="578">
        <f>43.2+85.5</f>
        <v>128.69999999999999</v>
      </c>
      <c r="H1015" s="532">
        <v>3156568</v>
      </c>
      <c r="J1015" s="323" t="s">
        <v>2777</v>
      </c>
    </row>
    <row r="1016" spans="1:10" x14ac:dyDescent="0.25">
      <c r="A1016" s="321">
        <v>42879.097557870373</v>
      </c>
      <c r="B1016" s="323" t="s">
        <v>127</v>
      </c>
      <c r="D1016" s="392" t="s">
        <v>181</v>
      </c>
      <c r="E1016" s="387">
        <v>351215</v>
      </c>
      <c r="F1016" s="553"/>
      <c r="G1016" s="578">
        <v>90.95</v>
      </c>
      <c r="H1016" s="532">
        <v>3163434</v>
      </c>
      <c r="J1016" s="323" t="s">
        <v>2773</v>
      </c>
    </row>
    <row r="1017" spans="1:10" x14ac:dyDescent="0.25">
      <c r="A1017" s="321">
        <v>42880.090821759259</v>
      </c>
      <c r="B1017" s="323" t="s">
        <v>127</v>
      </c>
      <c r="D1017" s="392" t="s">
        <v>181</v>
      </c>
      <c r="E1017" s="387">
        <v>351215</v>
      </c>
      <c r="F1017" s="553"/>
      <c r="G1017" s="578">
        <v>53</v>
      </c>
      <c r="H1017" s="532">
        <v>3175053</v>
      </c>
      <c r="J1017" s="323" t="s">
        <v>2773</v>
      </c>
    </row>
    <row r="1018" spans="1:10" x14ac:dyDescent="0.25">
      <c r="A1018" s="321">
        <v>42880.374293981484</v>
      </c>
      <c r="B1018" s="323" t="s">
        <v>127</v>
      </c>
      <c r="D1018" s="392" t="s">
        <v>181</v>
      </c>
      <c r="E1018" s="387">
        <v>351215</v>
      </c>
      <c r="F1018" s="553"/>
      <c r="G1018" s="578">
        <v>117.72</v>
      </c>
      <c r="H1018" s="532">
        <v>3172607</v>
      </c>
      <c r="J1018" s="323" t="s">
        <v>2773</v>
      </c>
    </row>
    <row r="1019" spans="1:10" x14ac:dyDescent="0.25">
      <c r="A1019" s="321">
        <v>42881.096863425926</v>
      </c>
      <c r="B1019" s="323" t="s">
        <v>127</v>
      </c>
      <c r="D1019" s="392" t="s">
        <v>181</v>
      </c>
      <c r="E1019" s="387">
        <v>351215</v>
      </c>
      <c r="F1019" s="553"/>
      <c r="G1019" s="578">
        <v>57</v>
      </c>
      <c r="H1019" s="532">
        <v>3176878</v>
      </c>
      <c r="J1019" s="323" t="s">
        <v>2773</v>
      </c>
    </row>
    <row r="1020" spans="1:10" x14ac:dyDescent="0.25">
      <c r="A1020" s="321">
        <v>42881.463854166665</v>
      </c>
      <c r="B1020" s="323" t="s">
        <v>127</v>
      </c>
      <c r="D1020" s="392" t="s">
        <v>181</v>
      </c>
      <c r="E1020" s="387">
        <v>351215</v>
      </c>
      <c r="F1020" s="553"/>
      <c r="G1020" s="578">
        <v>67.84</v>
      </c>
      <c r="H1020" s="532">
        <v>3179954</v>
      </c>
      <c r="J1020" s="323" t="s">
        <v>2773</v>
      </c>
    </row>
    <row r="1021" spans="1:10" x14ac:dyDescent="0.25">
      <c r="A1021" s="321" t="s">
        <v>2830</v>
      </c>
      <c r="B1021" s="323" t="s">
        <v>0</v>
      </c>
      <c r="C1021" s="335" t="s">
        <v>238</v>
      </c>
      <c r="D1021" s="392" t="s">
        <v>2779</v>
      </c>
      <c r="E1021" s="387">
        <v>507</v>
      </c>
      <c r="F1021" s="553" t="s">
        <v>2780</v>
      </c>
      <c r="G1021" s="578">
        <v>24.25</v>
      </c>
      <c r="H1021" s="532">
        <v>3169060</v>
      </c>
      <c r="I1021" s="433"/>
      <c r="J1021" s="323" t="s">
        <v>2778</v>
      </c>
    </row>
    <row r="1022" spans="1:10" x14ac:dyDescent="0.25">
      <c r="A1022" s="321" t="s">
        <v>2830</v>
      </c>
      <c r="B1022" s="323" t="s">
        <v>0</v>
      </c>
      <c r="C1022" s="335" t="s">
        <v>238</v>
      </c>
      <c r="D1022" s="392" t="s">
        <v>2367</v>
      </c>
      <c r="E1022" s="387">
        <v>351522</v>
      </c>
      <c r="F1022" s="553" t="s">
        <v>2781</v>
      </c>
      <c r="G1022" s="578">
        <v>29.33</v>
      </c>
      <c r="H1022" s="532">
        <v>3169023</v>
      </c>
      <c r="I1022" s="433"/>
      <c r="J1022" s="323" t="s">
        <v>2784</v>
      </c>
    </row>
    <row r="1023" spans="1:10" x14ac:dyDescent="0.25">
      <c r="A1023" s="321" t="s">
        <v>2830</v>
      </c>
      <c r="B1023" s="323" t="s">
        <v>0</v>
      </c>
      <c r="C1023" s="335" t="s">
        <v>238</v>
      </c>
      <c r="D1023" s="392" t="s">
        <v>2782</v>
      </c>
      <c r="E1023" s="387">
        <v>351490</v>
      </c>
      <c r="F1023" s="553" t="s">
        <v>2785</v>
      </c>
      <c r="G1023" s="578">
        <v>34.25</v>
      </c>
      <c r="H1023" s="532">
        <v>3169168</v>
      </c>
      <c r="I1023" s="433"/>
      <c r="J1023" s="323" t="s">
        <v>2783</v>
      </c>
    </row>
    <row r="1024" spans="1:10" x14ac:dyDescent="0.25">
      <c r="A1024" s="321" t="s">
        <v>2830</v>
      </c>
      <c r="B1024" s="323" t="s">
        <v>0</v>
      </c>
      <c r="C1024" s="335" t="s">
        <v>238</v>
      </c>
      <c r="D1024" s="392" t="s">
        <v>2788</v>
      </c>
      <c r="E1024" s="387">
        <v>352616</v>
      </c>
      <c r="F1024" s="553" t="s">
        <v>2791</v>
      </c>
      <c r="G1024" s="578">
        <v>34.799999999999997</v>
      </c>
      <c r="H1024" s="532"/>
      <c r="I1024" s="433"/>
      <c r="J1024" s="323" t="s">
        <v>2786</v>
      </c>
    </row>
    <row r="1025" spans="1:10" x14ac:dyDescent="0.25">
      <c r="A1025" s="321" t="s">
        <v>2830</v>
      </c>
      <c r="B1025" s="323" t="s">
        <v>0</v>
      </c>
      <c r="C1025" s="335" t="s">
        <v>2689</v>
      </c>
      <c r="D1025" s="392" t="s">
        <v>2789</v>
      </c>
      <c r="E1025" s="387">
        <v>353062</v>
      </c>
      <c r="F1025" s="553"/>
      <c r="G1025" s="578">
        <v>37.85</v>
      </c>
      <c r="H1025" s="532"/>
      <c r="I1025" s="433"/>
      <c r="J1025" s="323" t="s">
        <v>2374</v>
      </c>
    </row>
    <row r="1026" spans="1:10" x14ac:dyDescent="0.25">
      <c r="A1026" s="321" t="s">
        <v>2830</v>
      </c>
      <c r="B1026" s="323" t="s">
        <v>0</v>
      </c>
      <c r="C1026" s="335" t="s">
        <v>2689</v>
      </c>
      <c r="D1026" s="392" t="s">
        <v>2790</v>
      </c>
      <c r="E1026" s="387">
        <v>352321</v>
      </c>
      <c r="F1026" s="553" t="s">
        <v>2792</v>
      </c>
      <c r="G1026" s="578">
        <v>39.17</v>
      </c>
      <c r="H1026" s="532">
        <v>3182042</v>
      </c>
      <c r="I1026" s="588"/>
      <c r="J1026" s="323" t="s">
        <v>2787</v>
      </c>
    </row>
    <row r="1027" spans="1:10" x14ac:dyDescent="0.25">
      <c r="A1027" s="321" t="s">
        <v>2830</v>
      </c>
      <c r="B1027" s="323" t="s">
        <v>0</v>
      </c>
      <c r="C1027" s="335" t="s">
        <v>238</v>
      </c>
      <c r="D1027" s="392" t="s">
        <v>2794</v>
      </c>
      <c r="E1027" s="387">
        <v>351250</v>
      </c>
      <c r="F1027" s="553" t="s">
        <v>2795</v>
      </c>
      <c r="G1027" s="578">
        <v>45.95</v>
      </c>
      <c r="H1027" s="532">
        <v>3166895</v>
      </c>
      <c r="I1027" s="433"/>
      <c r="J1027" s="323" t="s">
        <v>2793</v>
      </c>
    </row>
    <row r="1028" spans="1:10" x14ac:dyDescent="0.25">
      <c r="A1028" s="321" t="s">
        <v>2830</v>
      </c>
      <c r="B1028" s="323" t="s">
        <v>0</v>
      </c>
      <c r="C1028" s="335" t="s">
        <v>238</v>
      </c>
      <c r="D1028" s="392" t="s">
        <v>2385</v>
      </c>
      <c r="E1028" s="387">
        <v>350335</v>
      </c>
      <c r="F1028" s="553" t="s">
        <v>2797</v>
      </c>
      <c r="G1028" s="578">
        <v>47.36</v>
      </c>
      <c r="H1028" s="532">
        <v>3166915</v>
      </c>
      <c r="I1028" s="433"/>
      <c r="J1028" s="323" t="s">
        <v>2796</v>
      </c>
    </row>
    <row r="1029" spans="1:10" x14ac:dyDescent="0.25">
      <c r="A1029" s="321" t="s">
        <v>2830</v>
      </c>
      <c r="B1029" s="323" t="s">
        <v>0</v>
      </c>
      <c r="C1029" s="335" t="s">
        <v>238</v>
      </c>
      <c r="D1029" s="392" t="s">
        <v>2804</v>
      </c>
      <c r="E1029" s="387">
        <v>351160</v>
      </c>
      <c r="F1029" s="553" t="s">
        <v>2801</v>
      </c>
      <c r="G1029" s="578">
        <v>51.44</v>
      </c>
      <c r="H1029" s="532">
        <v>3155365</v>
      </c>
      <c r="I1029" s="433"/>
      <c r="J1029" s="323" t="s">
        <v>2798</v>
      </c>
    </row>
    <row r="1030" spans="1:10" x14ac:dyDescent="0.25">
      <c r="A1030" s="321" t="s">
        <v>2830</v>
      </c>
      <c r="B1030" s="323" t="s">
        <v>0</v>
      </c>
      <c r="C1030" s="335" t="s">
        <v>238</v>
      </c>
      <c r="D1030" s="392" t="s">
        <v>2805</v>
      </c>
      <c r="E1030" s="387">
        <v>351402</v>
      </c>
      <c r="F1030" s="553" t="s">
        <v>2802</v>
      </c>
      <c r="G1030" s="578">
        <v>57.22</v>
      </c>
      <c r="H1030" s="532">
        <v>3167907</v>
      </c>
      <c r="I1030" s="588"/>
      <c r="J1030" s="323" t="s">
        <v>2799</v>
      </c>
    </row>
    <row r="1031" spans="1:10" x14ac:dyDescent="0.25">
      <c r="A1031" s="321" t="s">
        <v>2830</v>
      </c>
      <c r="B1031" s="323" t="s">
        <v>0</v>
      </c>
      <c r="C1031" s="335" t="s">
        <v>2689</v>
      </c>
      <c r="D1031" s="392" t="s">
        <v>2339</v>
      </c>
      <c r="E1031" s="387">
        <v>217937</v>
      </c>
      <c r="F1031" s="553" t="s">
        <v>2803</v>
      </c>
      <c r="G1031" s="578">
        <v>59.5</v>
      </c>
      <c r="H1031" s="532">
        <v>3180436</v>
      </c>
      <c r="J1031" s="323" t="s">
        <v>2800</v>
      </c>
    </row>
    <row r="1032" spans="1:10" x14ac:dyDescent="0.25">
      <c r="A1032" s="321" t="s">
        <v>2830</v>
      </c>
      <c r="B1032" s="323" t="s">
        <v>0</v>
      </c>
      <c r="C1032" s="335" t="s">
        <v>238</v>
      </c>
      <c r="D1032" s="392" t="s">
        <v>2336</v>
      </c>
      <c r="E1032" s="387">
        <v>352945</v>
      </c>
      <c r="F1032" s="553" t="s">
        <v>2809</v>
      </c>
      <c r="G1032" s="578">
        <v>63.95</v>
      </c>
      <c r="H1032" s="532">
        <v>3164244</v>
      </c>
      <c r="J1032" s="323" t="s">
        <v>2806</v>
      </c>
    </row>
    <row r="1033" spans="1:10" x14ac:dyDescent="0.25">
      <c r="A1033" s="321" t="s">
        <v>2830</v>
      </c>
      <c r="B1033" s="323" t="s">
        <v>0</v>
      </c>
      <c r="C1033" s="335" t="s">
        <v>238</v>
      </c>
      <c r="D1033" s="392" t="s">
        <v>2812</v>
      </c>
      <c r="E1033" s="387">
        <v>916</v>
      </c>
      <c r="F1033" s="553" t="s">
        <v>2810</v>
      </c>
      <c r="G1033" s="578">
        <v>69.95</v>
      </c>
      <c r="H1033" s="532">
        <v>3176222</v>
      </c>
      <c r="J1033" s="323" t="s">
        <v>2807</v>
      </c>
    </row>
    <row r="1034" spans="1:10" x14ac:dyDescent="0.25">
      <c r="A1034" s="321" t="s">
        <v>2830</v>
      </c>
      <c r="B1034" s="323" t="s">
        <v>0</v>
      </c>
      <c r="C1034" s="335" t="s">
        <v>238</v>
      </c>
      <c r="D1034" s="392" t="s">
        <v>110</v>
      </c>
      <c r="E1034" s="387">
        <v>350419</v>
      </c>
      <c r="F1034" s="553" t="s">
        <v>2811</v>
      </c>
      <c r="G1034" s="578">
        <v>71.95</v>
      </c>
      <c r="H1034" s="532">
        <v>3176067</v>
      </c>
      <c r="J1034" s="323" t="s">
        <v>2808</v>
      </c>
    </row>
    <row r="1035" spans="1:10" x14ac:dyDescent="0.25">
      <c r="A1035" s="321" t="s">
        <v>2830</v>
      </c>
      <c r="B1035" s="323" t="s">
        <v>0</v>
      </c>
      <c r="C1035" s="335" t="s">
        <v>238</v>
      </c>
      <c r="D1035" s="392" t="s">
        <v>2813</v>
      </c>
      <c r="E1035" s="387">
        <v>352477</v>
      </c>
      <c r="F1035" s="553" t="s">
        <v>2814</v>
      </c>
      <c r="G1035" s="578">
        <v>77.900000000000006</v>
      </c>
      <c r="H1035" s="532">
        <v>3174301</v>
      </c>
      <c r="J1035" s="323" t="s">
        <v>2815</v>
      </c>
    </row>
    <row r="1036" spans="1:10" x14ac:dyDescent="0.25">
      <c r="A1036" s="321" t="s">
        <v>2830</v>
      </c>
      <c r="B1036" s="323" t="s">
        <v>0</v>
      </c>
      <c r="C1036" s="335" t="s">
        <v>238</v>
      </c>
      <c r="D1036" s="392" t="s">
        <v>2817</v>
      </c>
      <c r="E1036" s="387">
        <v>219394</v>
      </c>
      <c r="F1036" s="553" t="s">
        <v>2818</v>
      </c>
      <c r="G1036" s="578">
        <v>88.11</v>
      </c>
      <c r="H1036" s="532">
        <v>3169494</v>
      </c>
      <c r="J1036" s="323" t="s">
        <v>2816</v>
      </c>
    </row>
    <row r="1037" spans="1:10" x14ac:dyDescent="0.25">
      <c r="A1037" s="321" t="s">
        <v>2830</v>
      </c>
      <c r="B1037" s="323" t="s">
        <v>0</v>
      </c>
      <c r="C1037" s="335" t="s">
        <v>238</v>
      </c>
      <c r="D1037" s="392" t="s">
        <v>2820</v>
      </c>
      <c r="E1037" s="387">
        <v>350632</v>
      </c>
      <c r="F1037" s="553" t="s">
        <v>2821</v>
      </c>
      <c r="G1037" s="578">
        <v>123.97</v>
      </c>
      <c r="H1037" s="532">
        <v>3169063</v>
      </c>
      <c r="J1037" s="323" t="s">
        <v>2819</v>
      </c>
    </row>
    <row r="1038" spans="1:10" x14ac:dyDescent="0.25">
      <c r="A1038" s="321" t="s">
        <v>2830</v>
      </c>
      <c r="B1038" s="323" t="s">
        <v>0</v>
      </c>
      <c r="C1038" s="335" t="s">
        <v>238</v>
      </c>
      <c r="D1038" s="392" t="s">
        <v>2825</v>
      </c>
      <c r="E1038" s="387">
        <v>350551</v>
      </c>
      <c r="F1038" s="553" t="s">
        <v>2827</v>
      </c>
      <c r="G1038" s="578">
        <v>134.31</v>
      </c>
      <c r="H1038" s="532">
        <v>3179684</v>
      </c>
      <c r="J1038" s="323" t="s">
        <v>2822</v>
      </c>
    </row>
    <row r="1039" spans="1:10" x14ac:dyDescent="0.25">
      <c r="A1039" s="321" t="s">
        <v>2830</v>
      </c>
      <c r="B1039" s="323" t="s">
        <v>0</v>
      </c>
      <c r="C1039" s="335" t="s">
        <v>238</v>
      </c>
      <c r="D1039" s="392" t="s">
        <v>2826</v>
      </c>
      <c r="E1039" s="387">
        <v>350822</v>
      </c>
      <c r="F1039" s="553" t="s">
        <v>2828</v>
      </c>
      <c r="G1039" s="578">
        <v>175.84</v>
      </c>
      <c r="H1039" s="532">
        <v>3175334</v>
      </c>
      <c r="J1039" s="323" t="s">
        <v>2823</v>
      </c>
    </row>
    <row r="1040" spans="1:10" x14ac:dyDescent="0.25">
      <c r="A1040" s="321" t="s">
        <v>2830</v>
      </c>
      <c r="B1040" s="323" t="s">
        <v>0</v>
      </c>
      <c r="C1040" s="335" t="s">
        <v>2831</v>
      </c>
      <c r="D1040" s="392" t="s">
        <v>2151</v>
      </c>
      <c r="E1040" s="387">
        <v>213229</v>
      </c>
      <c r="F1040" s="553" t="s">
        <v>2829</v>
      </c>
      <c r="G1040" s="578">
        <v>220.85</v>
      </c>
      <c r="H1040" s="532">
        <v>3174048</v>
      </c>
      <c r="J1040" s="323" t="s">
        <v>2824</v>
      </c>
    </row>
    <row r="1041" spans="1:19" x14ac:dyDescent="0.25">
      <c r="A1041" s="321">
        <v>42886</v>
      </c>
      <c r="B1041" s="323" t="s">
        <v>127</v>
      </c>
      <c r="D1041" s="392" t="s">
        <v>181</v>
      </c>
      <c r="E1041" s="387">
        <v>351215</v>
      </c>
      <c r="F1041" s="553"/>
      <c r="G1041" s="578">
        <v>124</v>
      </c>
      <c r="H1041" s="532">
        <v>3193210</v>
      </c>
      <c r="J1041" s="323" t="s">
        <v>2832</v>
      </c>
    </row>
    <row r="1042" spans="1:19" x14ac:dyDescent="0.25">
      <c r="A1042" s="321">
        <v>42885</v>
      </c>
      <c r="B1042" s="323" t="s">
        <v>127</v>
      </c>
      <c r="D1042" s="392" t="s">
        <v>181</v>
      </c>
      <c r="E1042" s="387">
        <v>351215</v>
      </c>
      <c r="G1042" s="578">
        <v>114.78</v>
      </c>
      <c r="H1042" s="532">
        <v>3184799</v>
      </c>
      <c r="J1042" s="323" t="s">
        <v>182</v>
      </c>
    </row>
    <row r="1043" spans="1:19" x14ac:dyDescent="0.25">
      <c r="A1043" s="321">
        <v>42886</v>
      </c>
      <c r="B1043" s="323" t="s">
        <v>127</v>
      </c>
      <c r="D1043" s="392" t="s">
        <v>181</v>
      </c>
      <c r="E1043" s="387">
        <v>351215</v>
      </c>
      <c r="G1043" s="578">
        <v>67</v>
      </c>
      <c r="H1043" s="532">
        <v>3187491</v>
      </c>
      <c r="J1043" s="323" t="s">
        <v>182</v>
      </c>
    </row>
    <row r="1044" spans="1:19" x14ac:dyDescent="0.25">
      <c r="A1044" s="321" t="s">
        <v>2834</v>
      </c>
      <c r="B1044" s="323" t="s">
        <v>0</v>
      </c>
      <c r="C1044" s="323" t="s">
        <v>2688</v>
      </c>
      <c r="D1044" s="392" t="s">
        <v>2789</v>
      </c>
      <c r="E1044" s="387">
        <v>353062</v>
      </c>
      <c r="F1044" s="553"/>
      <c r="G1044" s="578">
        <v>-37.85</v>
      </c>
      <c r="H1044" s="532"/>
      <c r="J1044" s="323" t="s">
        <v>2833</v>
      </c>
    </row>
    <row r="1045" spans="1:19" x14ac:dyDescent="0.25">
      <c r="A1045" s="321" t="s">
        <v>2834</v>
      </c>
      <c r="B1045" s="323" t="s">
        <v>58</v>
      </c>
      <c r="D1045" s="392" t="s">
        <v>2789</v>
      </c>
      <c r="E1045" s="387">
        <v>353062</v>
      </c>
      <c r="F1045" s="489" t="s">
        <v>2836</v>
      </c>
      <c r="G1045" s="578">
        <v>-37.85</v>
      </c>
      <c r="H1045" s="588">
        <v>3182221</v>
      </c>
      <c r="J1045" s="2" t="s">
        <v>2835</v>
      </c>
    </row>
    <row r="1046" spans="1:19" x14ac:dyDescent="0.25">
      <c r="A1046" s="321" t="s">
        <v>2834</v>
      </c>
      <c r="B1046" s="323" t="s">
        <v>58</v>
      </c>
      <c r="D1046" s="392" t="s">
        <v>2789</v>
      </c>
      <c r="E1046" s="387">
        <v>353062</v>
      </c>
      <c r="F1046" s="489" t="s">
        <v>2836</v>
      </c>
      <c r="G1046" s="578">
        <v>-37.85</v>
      </c>
      <c r="H1046" s="588">
        <v>3182221</v>
      </c>
      <c r="J1046" s="2" t="s">
        <v>2835</v>
      </c>
    </row>
    <row r="1047" spans="1:19" x14ac:dyDescent="0.25">
      <c r="A1047" s="321" t="s">
        <v>2834</v>
      </c>
      <c r="B1047" s="323" t="s">
        <v>58</v>
      </c>
      <c r="D1047" s="392" t="s">
        <v>2789</v>
      </c>
      <c r="E1047" s="387">
        <v>353062</v>
      </c>
      <c r="F1047" s="489" t="s">
        <v>2836</v>
      </c>
      <c r="G1047" s="578">
        <v>-37.85</v>
      </c>
      <c r="H1047" s="588">
        <v>3182221</v>
      </c>
      <c r="J1047" s="2" t="s">
        <v>2835</v>
      </c>
    </row>
    <row r="1048" spans="1:19" x14ac:dyDescent="0.25">
      <c r="A1048" s="321" t="s">
        <v>2834</v>
      </c>
      <c r="B1048" s="323" t="s">
        <v>0</v>
      </c>
      <c r="C1048" s="323" t="s">
        <v>2688</v>
      </c>
      <c r="D1048" s="392">
        <v>376273017990</v>
      </c>
      <c r="E1048" s="387">
        <v>352321</v>
      </c>
      <c r="F1048" s="314" t="s">
        <v>2792</v>
      </c>
      <c r="G1048" s="578">
        <v>-39.17</v>
      </c>
      <c r="H1048" s="532">
        <v>3182042</v>
      </c>
      <c r="J1048" s="323" t="s">
        <v>93</v>
      </c>
    </row>
    <row r="1049" spans="1:19" x14ac:dyDescent="0.25">
      <c r="A1049" s="321" t="s">
        <v>2834</v>
      </c>
      <c r="B1049" s="323" t="s">
        <v>0</v>
      </c>
      <c r="C1049" s="335" t="s">
        <v>238</v>
      </c>
      <c r="D1049" s="392" t="s">
        <v>2852</v>
      </c>
      <c r="E1049" s="387">
        <v>352773</v>
      </c>
      <c r="F1049" s="314" t="s">
        <v>2857</v>
      </c>
      <c r="G1049" s="578">
        <v>42.66</v>
      </c>
      <c r="H1049" s="532">
        <v>3110637</v>
      </c>
      <c r="J1049" s="323" t="s">
        <v>2854</v>
      </c>
    </row>
    <row r="1050" spans="1:19" x14ac:dyDescent="0.25">
      <c r="A1050" s="321" t="s">
        <v>2834</v>
      </c>
      <c r="B1050" s="323" t="s">
        <v>0</v>
      </c>
      <c r="C1050" s="335" t="s">
        <v>238</v>
      </c>
      <c r="D1050" s="392" t="s">
        <v>2947</v>
      </c>
      <c r="E1050" s="387">
        <v>351684</v>
      </c>
      <c r="F1050" s="314" t="s">
        <v>2949</v>
      </c>
      <c r="G1050" s="578">
        <v>424.71</v>
      </c>
      <c r="H1050" s="532">
        <v>3179933</v>
      </c>
      <c r="J1050" s="323" t="s">
        <v>2948</v>
      </c>
    </row>
    <row r="1051" spans="1:19" x14ac:dyDescent="0.25">
      <c r="A1051" s="321" t="s">
        <v>2834</v>
      </c>
      <c r="B1051" s="323" t="s">
        <v>0</v>
      </c>
      <c r="D1051" s="392" t="s">
        <v>96</v>
      </c>
      <c r="E1051" s="387">
        <v>350361</v>
      </c>
      <c r="F1051" s="314" t="s">
        <v>2876</v>
      </c>
      <c r="G1051" s="578">
        <v>55.89</v>
      </c>
      <c r="H1051" s="532">
        <v>3180182</v>
      </c>
      <c r="J1051" s="323" t="s">
        <v>2866</v>
      </c>
    </row>
    <row r="1052" spans="1:19" x14ac:dyDescent="0.25">
      <c r="A1052" s="525" t="s">
        <v>2834</v>
      </c>
      <c r="B1052" s="335" t="s">
        <v>0</v>
      </c>
      <c r="C1052" s="335" t="s">
        <v>238</v>
      </c>
      <c r="D1052" s="529" t="s">
        <v>2319</v>
      </c>
      <c r="E1052" s="589">
        <v>226863</v>
      </c>
      <c r="F1052" s="342" t="s">
        <v>2907</v>
      </c>
      <c r="G1052" s="591">
        <v>89.61</v>
      </c>
      <c r="H1052" s="545">
        <v>3186251</v>
      </c>
      <c r="I1052" s="336"/>
      <c r="J1052" s="335" t="s">
        <v>2903</v>
      </c>
      <c r="K1052" s="336"/>
      <c r="L1052" s="336"/>
      <c r="M1052" s="336"/>
      <c r="N1052" s="336"/>
      <c r="O1052" s="336"/>
      <c r="P1052" s="336"/>
      <c r="Q1052" s="336"/>
      <c r="R1052" s="336"/>
      <c r="S1052" s="336"/>
    </row>
    <row r="1053" spans="1:19" x14ac:dyDescent="0.25">
      <c r="A1053" s="321" t="s">
        <v>2834</v>
      </c>
      <c r="B1053" s="323" t="s">
        <v>0</v>
      </c>
      <c r="C1053" s="335" t="s">
        <v>238</v>
      </c>
      <c r="D1053" s="392" t="s">
        <v>2885</v>
      </c>
      <c r="E1053" s="387">
        <v>352755</v>
      </c>
      <c r="F1053" s="314" t="s">
        <v>2896</v>
      </c>
      <c r="G1053" s="578">
        <v>74.95</v>
      </c>
      <c r="H1053" s="532">
        <v>3187309</v>
      </c>
      <c r="J1053" s="323" t="s">
        <v>2890</v>
      </c>
    </row>
    <row r="1054" spans="1:19" x14ac:dyDescent="0.25">
      <c r="A1054" s="321" t="s">
        <v>2834</v>
      </c>
      <c r="B1054" s="323" t="s">
        <v>0</v>
      </c>
      <c r="C1054" s="335" t="s">
        <v>238</v>
      </c>
      <c r="D1054" s="392" t="s">
        <v>181</v>
      </c>
      <c r="E1054" s="387">
        <v>351215</v>
      </c>
      <c r="F1054" s="314" t="s">
        <v>2916</v>
      </c>
      <c r="G1054" s="578">
        <v>44.81</v>
      </c>
      <c r="H1054" s="532">
        <v>3187377</v>
      </c>
      <c r="J1054" s="323" t="s">
        <v>2912</v>
      </c>
    </row>
    <row r="1055" spans="1:19" x14ac:dyDescent="0.25">
      <c r="A1055" s="590" t="s">
        <v>2834</v>
      </c>
      <c r="B1055" s="584" t="s">
        <v>0</v>
      </c>
      <c r="C1055" s="335" t="s">
        <v>238</v>
      </c>
      <c r="D1055" s="589" t="s">
        <v>2884</v>
      </c>
      <c r="E1055" s="589">
        <v>352858</v>
      </c>
      <c r="F1055" s="593" t="s">
        <v>2895</v>
      </c>
      <c r="G1055" s="591">
        <v>74.349999999999994</v>
      </c>
      <c r="H1055" s="433">
        <v>3188895</v>
      </c>
      <c r="I1055" s="592"/>
      <c r="J1055" s="584" t="s">
        <v>2889</v>
      </c>
      <c r="K1055" s="592"/>
      <c r="L1055" s="592"/>
      <c r="M1055" s="592"/>
      <c r="N1055" s="592"/>
      <c r="O1055" s="592"/>
      <c r="P1055" s="592"/>
      <c r="Q1055" s="592"/>
      <c r="R1055" s="592"/>
      <c r="S1055" s="592"/>
    </row>
    <row r="1056" spans="1:19" x14ac:dyDescent="0.25">
      <c r="A1056" s="321" t="s">
        <v>2834</v>
      </c>
      <c r="B1056" s="323" t="s">
        <v>0</v>
      </c>
      <c r="C1056" s="335" t="s">
        <v>238</v>
      </c>
      <c r="D1056" s="392" t="s">
        <v>2924</v>
      </c>
      <c r="E1056" s="387">
        <v>352656</v>
      </c>
      <c r="F1056" s="314" t="s">
        <v>2939</v>
      </c>
      <c r="G1056" s="578">
        <v>172.56</v>
      </c>
      <c r="H1056" s="532">
        <v>3189733</v>
      </c>
      <c r="J1056" s="323" t="s">
        <v>2932</v>
      </c>
    </row>
    <row r="1057" spans="1:19" s="336" customFormat="1" x14ac:dyDescent="0.25">
      <c r="A1057" s="321" t="s">
        <v>2834</v>
      </c>
      <c r="B1057" s="323" t="s">
        <v>0</v>
      </c>
      <c r="C1057" s="335" t="s">
        <v>238</v>
      </c>
      <c r="D1057" s="392" t="s">
        <v>2614</v>
      </c>
      <c r="E1057" s="387">
        <v>352443</v>
      </c>
      <c r="F1057" s="314" t="s">
        <v>2915</v>
      </c>
      <c r="G1057" s="578">
        <v>106.37</v>
      </c>
      <c r="H1057" s="532">
        <v>3189947</v>
      </c>
      <c r="I1057" s="2"/>
      <c r="J1057" s="323" t="s">
        <v>2911</v>
      </c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s="592" customFormat="1" x14ac:dyDescent="0.25">
      <c r="A1058" s="321" t="s">
        <v>2834</v>
      </c>
      <c r="B1058" s="323" t="s">
        <v>0</v>
      </c>
      <c r="C1058" s="335" t="s">
        <v>238</v>
      </c>
      <c r="D1058" s="392" t="s">
        <v>181</v>
      </c>
      <c r="E1058" s="387">
        <v>351215</v>
      </c>
      <c r="F1058" s="314" t="s">
        <v>2918</v>
      </c>
      <c r="G1058" s="578">
        <v>124</v>
      </c>
      <c r="H1058" s="532">
        <v>3190501</v>
      </c>
      <c r="I1058" s="578"/>
      <c r="J1058" s="323" t="s">
        <v>2912</v>
      </c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5">
      <c r="A1059" s="590" t="s">
        <v>2834</v>
      </c>
      <c r="B1059" s="584" t="s">
        <v>0</v>
      </c>
      <c r="C1059" s="335" t="s">
        <v>238</v>
      </c>
      <c r="D1059" s="589" t="s">
        <v>2860</v>
      </c>
      <c r="E1059" s="589">
        <v>353601</v>
      </c>
      <c r="F1059" s="593" t="s">
        <v>2874</v>
      </c>
      <c r="G1059" s="591">
        <v>48.9</v>
      </c>
      <c r="H1059" s="433">
        <v>3190655</v>
      </c>
      <c r="I1059" s="578"/>
      <c r="J1059" s="584" t="s">
        <v>2859</v>
      </c>
      <c r="K1059" s="592"/>
      <c r="L1059" s="592"/>
      <c r="M1059" s="592"/>
      <c r="N1059" s="592"/>
      <c r="O1059" s="592"/>
      <c r="P1059" s="592"/>
      <c r="Q1059" s="592"/>
      <c r="R1059" s="592"/>
      <c r="S1059" s="592"/>
    </row>
    <row r="1060" spans="1:19" x14ac:dyDescent="0.25">
      <c r="A1060" s="321" t="s">
        <v>2834</v>
      </c>
      <c r="B1060" s="323" t="s">
        <v>0</v>
      </c>
      <c r="C1060" s="335" t="s">
        <v>238</v>
      </c>
      <c r="D1060" s="392" t="s">
        <v>2923</v>
      </c>
      <c r="E1060" s="387">
        <v>351317</v>
      </c>
      <c r="F1060" s="314" t="s">
        <v>2938</v>
      </c>
      <c r="G1060" s="578">
        <v>143.38999999999999</v>
      </c>
      <c r="H1060" s="532">
        <v>3191421</v>
      </c>
      <c r="I1060" s="578"/>
      <c r="J1060" s="323" t="s">
        <v>2931</v>
      </c>
    </row>
    <row r="1061" spans="1:19" x14ac:dyDescent="0.25">
      <c r="A1061" s="321" t="s">
        <v>2834</v>
      </c>
      <c r="B1061" s="323" t="s">
        <v>0</v>
      </c>
      <c r="C1061" s="335" t="s">
        <v>238</v>
      </c>
      <c r="D1061" s="392" t="s">
        <v>1491</v>
      </c>
      <c r="E1061" s="387">
        <v>351915</v>
      </c>
      <c r="F1061" s="314" t="s">
        <v>2906</v>
      </c>
      <c r="G1061" s="578">
        <v>88.81</v>
      </c>
      <c r="H1061" s="532">
        <v>3191686</v>
      </c>
      <c r="I1061" s="578"/>
      <c r="J1061" s="323" t="s">
        <v>2902</v>
      </c>
    </row>
    <row r="1062" spans="1:19" x14ac:dyDescent="0.25">
      <c r="A1062" s="525" t="s">
        <v>2834</v>
      </c>
      <c r="B1062" s="335" t="s">
        <v>0</v>
      </c>
      <c r="C1062" s="335" t="s">
        <v>238</v>
      </c>
      <c r="D1062" s="529" t="s">
        <v>1487</v>
      </c>
      <c r="E1062" s="589">
        <v>351448</v>
      </c>
      <c r="F1062" s="342" t="s">
        <v>2858</v>
      </c>
      <c r="G1062" s="591">
        <v>42.95</v>
      </c>
      <c r="H1062" s="545">
        <v>3192126</v>
      </c>
      <c r="I1062" s="578"/>
      <c r="J1062" s="335" t="s">
        <v>2855</v>
      </c>
      <c r="K1062" s="336"/>
      <c r="L1062" s="336"/>
      <c r="M1062" s="336"/>
      <c r="N1062" s="336"/>
      <c r="O1062" s="336"/>
      <c r="P1062" s="336"/>
      <c r="Q1062" s="336"/>
      <c r="R1062" s="336"/>
      <c r="S1062" s="336"/>
    </row>
    <row r="1063" spans="1:19" x14ac:dyDescent="0.25">
      <c r="A1063" s="321" t="s">
        <v>2834</v>
      </c>
      <c r="B1063" s="323" t="s">
        <v>0</v>
      </c>
      <c r="C1063" s="335" t="s">
        <v>238</v>
      </c>
      <c r="D1063" s="392" t="s">
        <v>2234</v>
      </c>
      <c r="E1063" s="387">
        <v>353018</v>
      </c>
      <c r="F1063" s="314" t="s">
        <v>2856</v>
      </c>
      <c r="G1063" s="578">
        <v>41.33</v>
      </c>
      <c r="H1063" s="532">
        <v>3192149</v>
      </c>
      <c r="I1063" s="578"/>
      <c r="J1063" s="323" t="s">
        <v>2853</v>
      </c>
    </row>
    <row r="1064" spans="1:19" x14ac:dyDescent="0.25">
      <c r="A1064" s="321" t="s">
        <v>2834</v>
      </c>
      <c r="B1064" s="323" t="s">
        <v>0</v>
      </c>
      <c r="C1064" s="335" t="s">
        <v>238</v>
      </c>
      <c r="D1064" s="392" t="s">
        <v>2905</v>
      </c>
      <c r="E1064" s="387">
        <v>351919</v>
      </c>
      <c r="F1064" s="314" t="s">
        <v>2908</v>
      </c>
      <c r="G1064" s="578">
        <v>92.65</v>
      </c>
      <c r="H1064" s="532">
        <v>3192387</v>
      </c>
      <c r="I1064" s="578"/>
      <c r="J1064" s="323" t="s">
        <v>2904</v>
      </c>
    </row>
    <row r="1065" spans="1:19" x14ac:dyDescent="0.25">
      <c r="A1065" s="321" t="s">
        <v>2834</v>
      </c>
      <c r="B1065" s="323" t="s">
        <v>0</v>
      </c>
      <c r="C1065" s="335" t="s">
        <v>238</v>
      </c>
      <c r="D1065" s="392" t="s">
        <v>2864</v>
      </c>
      <c r="E1065" s="387">
        <v>350237</v>
      </c>
      <c r="F1065" s="314" t="s">
        <v>2881</v>
      </c>
      <c r="G1065" s="578">
        <v>66.63</v>
      </c>
      <c r="H1065" s="532">
        <v>3192514</v>
      </c>
      <c r="I1065" s="578"/>
      <c r="J1065" s="323" t="s">
        <v>2872</v>
      </c>
    </row>
    <row r="1066" spans="1:19" x14ac:dyDescent="0.25">
      <c r="A1066" s="321" t="s">
        <v>2834</v>
      </c>
      <c r="B1066" s="323" t="s">
        <v>0</v>
      </c>
      <c r="C1066" s="335" t="s">
        <v>238</v>
      </c>
      <c r="D1066" s="392" t="s">
        <v>2754</v>
      </c>
      <c r="E1066" s="387">
        <v>217878</v>
      </c>
      <c r="F1066" s="314" t="s">
        <v>2838</v>
      </c>
      <c r="G1066" s="578">
        <v>15.65</v>
      </c>
      <c r="H1066" s="532">
        <v>3192562</v>
      </c>
      <c r="J1066" s="323" t="s">
        <v>2837</v>
      </c>
    </row>
    <row r="1067" spans="1:19" x14ac:dyDescent="0.25">
      <c r="A1067" s="321" t="s">
        <v>2834</v>
      </c>
      <c r="B1067" s="323" t="s">
        <v>0</v>
      </c>
      <c r="C1067" s="335" t="s">
        <v>238</v>
      </c>
      <c r="D1067" s="392" t="s">
        <v>2909</v>
      </c>
      <c r="E1067" s="387">
        <v>213567</v>
      </c>
      <c r="F1067" s="314" t="s">
        <v>2914</v>
      </c>
      <c r="G1067" s="578">
        <v>98.48</v>
      </c>
      <c r="H1067" s="532">
        <v>3192926</v>
      </c>
      <c r="J1067" s="323" t="s">
        <v>2910</v>
      </c>
    </row>
    <row r="1068" spans="1:19" x14ac:dyDescent="0.25">
      <c r="A1068" s="321" t="s">
        <v>2834</v>
      </c>
      <c r="B1068" s="323" t="s">
        <v>0</v>
      </c>
      <c r="C1068" s="335" t="s">
        <v>238</v>
      </c>
      <c r="D1068" s="392" t="s">
        <v>1917</v>
      </c>
      <c r="E1068" s="387">
        <v>98384</v>
      </c>
      <c r="F1068" s="314" t="s">
        <v>2840</v>
      </c>
      <c r="G1068" s="578">
        <v>33.159999999999997</v>
      </c>
      <c r="H1068" s="532">
        <v>3193045</v>
      </c>
      <c r="J1068" s="323" t="s">
        <v>2842</v>
      </c>
    </row>
    <row r="1069" spans="1:19" x14ac:dyDescent="0.25">
      <c r="A1069" s="321" t="s">
        <v>2834</v>
      </c>
      <c r="B1069" s="323" t="s">
        <v>0</v>
      </c>
      <c r="C1069" s="335" t="s">
        <v>238</v>
      </c>
      <c r="D1069" s="392" t="s">
        <v>2312</v>
      </c>
      <c r="E1069" s="387">
        <v>217797</v>
      </c>
      <c r="F1069" s="314" t="s">
        <v>2942</v>
      </c>
      <c r="G1069" s="578">
        <v>267.89999999999998</v>
      </c>
      <c r="H1069" s="532">
        <v>3193078</v>
      </c>
      <c r="J1069" s="323" t="s">
        <v>2941</v>
      </c>
    </row>
    <row r="1070" spans="1:19" s="592" customFormat="1" x14ac:dyDescent="0.25">
      <c r="A1070" s="321" t="s">
        <v>2834</v>
      </c>
      <c r="B1070" s="323" t="s">
        <v>0</v>
      </c>
      <c r="C1070" s="335" t="s">
        <v>238</v>
      </c>
      <c r="D1070" s="392" t="s">
        <v>1781</v>
      </c>
      <c r="E1070" s="387">
        <v>891</v>
      </c>
      <c r="F1070" s="314" t="s">
        <v>2934</v>
      </c>
      <c r="G1070" s="578">
        <v>119.66</v>
      </c>
      <c r="H1070" s="532">
        <v>3194039</v>
      </c>
      <c r="I1070" s="2"/>
      <c r="J1070" s="323" t="s">
        <v>2927</v>
      </c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5">
      <c r="A1071" s="321" t="s">
        <v>2834</v>
      </c>
      <c r="B1071" s="323" t="s">
        <v>0</v>
      </c>
      <c r="C1071" s="335" t="s">
        <v>238</v>
      </c>
      <c r="D1071" s="392" t="s">
        <v>2847</v>
      </c>
      <c r="E1071" s="387">
        <v>353471</v>
      </c>
      <c r="F1071" s="314" t="s">
        <v>2851</v>
      </c>
      <c r="G1071" s="578">
        <v>38.39</v>
      </c>
      <c r="H1071" s="532">
        <v>3194583</v>
      </c>
      <c r="J1071" s="323" t="s">
        <v>2849</v>
      </c>
    </row>
    <row r="1072" spans="1:19" x14ac:dyDescent="0.25">
      <c r="A1072" s="321" t="s">
        <v>2834</v>
      </c>
      <c r="B1072" s="323" t="s">
        <v>0</v>
      </c>
      <c r="C1072" s="335" t="s">
        <v>238</v>
      </c>
      <c r="D1072" s="392" t="s">
        <v>2883</v>
      </c>
      <c r="E1072" s="387">
        <v>351134</v>
      </c>
      <c r="F1072" s="314" t="s">
        <v>2893</v>
      </c>
      <c r="G1072" s="578">
        <v>69.95</v>
      </c>
      <c r="H1072" s="532">
        <v>3195397</v>
      </c>
      <c r="J1072" s="323" t="s">
        <v>2887</v>
      </c>
    </row>
    <row r="1073" spans="1:19" x14ac:dyDescent="0.25">
      <c r="A1073" s="321" t="s">
        <v>2834</v>
      </c>
      <c r="B1073" s="323" t="s">
        <v>0</v>
      </c>
      <c r="C1073" s="335" t="s">
        <v>238</v>
      </c>
      <c r="D1073" s="392" t="s">
        <v>1973</v>
      </c>
      <c r="E1073" s="387">
        <v>220460</v>
      </c>
      <c r="F1073" s="314" t="s">
        <v>2839</v>
      </c>
      <c r="G1073" s="578">
        <v>27.26</v>
      </c>
      <c r="H1073" s="532">
        <v>3195513</v>
      </c>
      <c r="J1073" s="323" t="s">
        <v>2841</v>
      </c>
    </row>
    <row r="1074" spans="1:19" x14ac:dyDescent="0.25">
      <c r="A1074" s="321" t="s">
        <v>2834</v>
      </c>
      <c r="B1074" s="323" t="s">
        <v>0</v>
      </c>
      <c r="C1074" s="335" t="s">
        <v>238</v>
      </c>
      <c r="D1074" s="392" t="s">
        <v>2886</v>
      </c>
      <c r="E1074" s="387">
        <v>350830</v>
      </c>
      <c r="F1074" s="314" t="s">
        <v>2897</v>
      </c>
      <c r="G1074" s="578">
        <v>76.77</v>
      </c>
      <c r="H1074" s="532">
        <v>3195904</v>
      </c>
      <c r="J1074" s="323" t="s">
        <v>2891</v>
      </c>
    </row>
    <row r="1075" spans="1:19" x14ac:dyDescent="0.25">
      <c r="A1075" s="321" t="s">
        <v>2834</v>
      </c>
      <c r="B1075" s="323" t="s">
        <v>0</v>
      </c>
      <c r="C1075" s="335" t="s">
        <v>238</v>
      </c>
      <c r="D1075" s="392" t="s">
        <v>1345</v>
      </c>
      <c r="E1075" s="387">
        <v>222176</v>
      </c>
      <c r="F1075" s="314" t="s">
        <v>2882</v>
      </c>
      <c r="G1075" s="578">
        <v>66.95</v>
      </c>
      <c r="H1075" s="532">
        <v>3195978</v>
      </c>
      <c r="J1075" s="323" t="s">
        <v>2873</v>
      </c>
    </row>
    <row r="1076" spans="1:19" s="336" customFormat="1" x14ac:dyDescent="0.25">
      <c r="A1076" s="321" t="s">
        <v>2834</v>
      </c>
      <c r="B1076" s="323" t="s">
        <v>0</v>
      </c>
      <c r="C1076" s="335" t="s">
        <v>238</v>
      </c>
      <c r="D1076" s="392" t="s">
        <v>2846</v>
      </c>
      <c r="E1076" s="387">
        <v>351071</v>
      </c>
      <c r="F1076" s="314" t="s">
        <v>2850</v>
      </c>
      <c r="G1076" s="578">
        <v>38.11</v>
      </c>
      <c r="H1076" s="532">
        <v>3196039</v>
      </c>
      <c r="I1076" s="2"/>
      <c r="J1076" s="323" t="s">
        <v>2848</v>
      </c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5">
      <c r="A1077" s="321" t="s">
        <v>2834</v>
      </c>
      <c r="B1077" s="323" t="s">
        <v>0</v>
      </c>
      <c r="C1077" s="335" t="s">
        <v>238</v>
      </c>
      <c r="D1077" s="392" t="s">
        <v>2944</v>
      </c>
      <c r="E1077" s="387">
        <v>351282</v>
      </c>
      <c r="F1077" s="314" t="s">
        <v>2946</v>
      </c>
      <c r="G1077" s="578">
        <v>297.95</v>
      </c>
      <c r="H1077" s="532">
        <v>3196382</v>
      </c>
      <c r="J1077" s="323" t="s">
        <v>2945</v>
      </c>
    </row>
    <row r="1078" spans="1:19" x14ac:dyDescent="0.25">
      <c r="A1078" s="321" t="s">
        <v>2834</v>
      </c>
      <c r="B1078" s="323" t="s">
        <v>0</v>
      </c>
      <c r="C1078" s="335" t="s">
        <v>238</v>
      </c>
      <c r="D1078" s="392" t="s">
        <v>2922</v>
      </c>
      <c r="E1078" s="387">
        <v>352210</v>
      </c>
      <c r="F1078" s="314" t="s">
        <v>2937</v>
      </c>
      <c r="G1078" s="578">
        <v>127.46</v>
      </c>
      <c r="H1078" s="532">
        <v>3196479</v>
      </c>
      <c r="J1078" s="323" t="s">
        <v>2930</v>
      </c>
    </row>
    <row r="1079" spans="1:19" x14ac:dyDescent="0.25">
      <c r="A1079" s="321" t="s">
        <v>2834</v>
      </c>
      <c r="B1079" s="323" t="s">
        <v>0</v>
      </c>
      <c r="C1079" s="335" t="s">
        <v>238</v>
      </c>
      <c r="D1079" s="392" t="s">
        <v>2899</v>
      </c>
      <c r="E1079" s="387">
        <v>1125</v>
      </c>
      <c r="F1079" s="314" t="s">
        <v>2901</v>
      </c>
      <c r="G1079" s="578">
        <v>80.95</v>
      </c>
      <c r="H1079" s="532">
        <v>3197028</v>
      </c>
      <c r="J1079" s="323" t="s">
        <v>2900</v>
      </c>
    </row>
    <row r="1080" spans="1:19" x14ac:dyDescent="0.25">
      <c r="A1080" s="321" t="s">
        <v>2834</v>
      </c>
      <c r="B1080" s="323" t="s">
        <v>0</v>
      </c>
      <c r="C1080" s="335" t="s">
        <v>238</v>
      </c>
      <c r="D1080" s="392" t="s">
        <v>2843</v>
      </c>
      <c r="E1080" s="387">
        <v>352173</v>
      </c>
      <c r="F1080" s="314" t="s">
        <v>2844</v>
      </c>
      <c r="G1080" s="578">
        <v>34.950000000000003</v>
      </c>
      <c r="H1080" s="532">
        <v>3197261</v>
      </c>
      <c r="J1080" s="323" t="s">
        <v>2845</v>
      </c>
    </row>
    <row r="1081" spans="1:19" x14ac:dyDescent="0.25">
      <c r="A1081" s="321" t="s">
        <v>2834</v>
      </c>
      <c r="B1081" s="323" t="s">
        <v>0</v>
      </c>
      <c r="C1081" s="335" t="s">
        <v>238</v>
      </c>
      <c r="D1081" s="392" t="s">
        <v>2861</v>
      </c>
      <c r="E1081" s="387">
        <v>351644</v>
      </c>
      <c r="F1081" s="314" t="s">
        <v>2878</v>
      </c>
      <c r="G1081" s="578">
        <v>57.32</v>
      </c>
      <c r="H1081" s="532">
        <v>3198069</v>
      </c>
      <c r="J1081" s="323" t="s">
        <v>2868</v>
      </c>
    </row>
    <row r="1082" spans="1:19" x14ac:dyDescent="0.25">
      <c r="A1082" s="321" t="s">
        <v>2834</v>
      </c>
      <c r="B1082" s="323" t="s">
        <v>0</v>
      </c>
      <c r="C1082" s="335" t="s">
        <v>238</v>
      </c>
      <c r="D1082" s="392" t="s">
        <v>2863</v>
      </c>
      <c r="E1082" s="387">
        <v>225870</v>
      </c>
      <c r="F1082" s="314" t="s">
        <v>2879</v>
      </c>
      <c r="G1082" s="578">
        <v>59.95</v>
      </c>
      <c r="H1082" s="532">
        <v>3198140</v>
      </c>
      <c r="J1082" s="323" t="s">
        <v>2870</v>
      </c>
    </row>
    <row r="1083" spans="1:19" x14ac:dyDescent="0.25">
      <c r="A1083" s="321" t="s">
        <v>2834</v>
      </c>
      <c r="B1083" s="323" t="s">
        <v>0</v>
      </c>
      <c r="C1083" s="335" t="s">
        <v>238</v>
      </c>
      <c r="D1083" s="392" t="s">
        <v>181</v>
      </c>
      <c r="E1083" s="387">
        <v>351215</v>
      </c>
      <c r="F1083" s="314" t="s">
        <v>2917</v>
      </c>
      <c r="G1083" s="578">
        <v>63.04</v>
      </c>
      <c r="H1083" s="532">
        <v>3198698</v>
      </c>
      <c r="J1083" s="323" t="s">
        <v>2912</v>
      </c>
    </row>
    <row r="1084" spans="1:19" x14ac:dyDescent="0.25">
      <c r="A1084" s="321" t="s">
        <v>2834</v>
      </c>
      <c r="B1084" s="323" t="s">
        <v>0</v>
      </c>
      <c r="C1084" s="335" t="s">
        <v>238</v>
      </c>
      <c r="D1084" s="392" t="s">
        <v>1454</v>
      </c>
      <c r="E1084" s="387">
        <v>350381</v>
      </c>
      <c r="F1084" s="314" t="s">
        <v>2919</v>
      </c>
      <c r="G1084" s="578">
        <v>108.01</v>
      </c>
      <c r="H1084" s="532">
        <v>3198965</v>
      </c>
      <c r="J1084" s="323" t="s">
        <v>2913</v>
      </c>
    </row>
    <row r="1085" spans="1:19" x14ac:dyDescent="0.25">
      <c r="A1085" s="321" t="s">
        <v>2834</v>
      </c>
      <c r="B1085" s="323" t="s">
        <v>0</v>
      </c>
      <c r="C1085" s="335" t="s">
        <v>238</v>
      </c>
      <c r="D1085" s="392" t="s">
        <v>2921</v>
      </c>
      <c r="E1085" s="387">
        <v>351642</v>
      </c>
      <c r="F1085" s="314" t="s">
        <v>2936</v>
      </c>
      <c r="G1085" s="578">
        <v>125.95</v>
      </c>
      <c r="H1085" s="532">
        <v>3199364</v>
      </c>
      <c r="J1085" s="323" t="s">
        <v>2929</v>
      </c>
    </row>
    <row r="1086" spans="1:19" x14ac:dyDescent="0.25">
      <c r="A1086" s="321" t="s">
        <v>2834</v>
      </c>
      <c r="B1086" s="323" t="s">
        <v>0</v>
      </c>
      <c r="C1086" s="335" t="s">
        <v>238</v>
      </c>
      <c r="D1086" s="392" t="s">
        <v>2151</v>
      </c>
      <c r="E1086" s="387">
        <v>213229</v>
      </c>
      <c r="F1086" s="314" t="s">
        <v>2894</v>
      </c>
      <c r="G1086" s="578">
        <v>69.98</v>
      </c>
      <c r="H1086" s="532">
        <v>3200731</v>
      </c>
      <c r="J1086" s="323" t="s">
        <v>2888</v>
      </c>
    </row>
    <row r="1087" spans="1:19" x14ac:dyDescent="0.25">
      <c r="A1087" s="321" t="s">
        <v>2834</v>
      </c>
      <c r="B1087" s="323" t="s">
        <v>0</v>
      </c>
      <c r="C1087" s="335" t="s">
        <v>238</v>
      </c>
      <c r="D1087" s="392" t="s">
        <v>1279</v>
      </c>
      <c r="E1087" s="387">
        <v>215170</v>
      </c>
      <c r="F1087" s="314" t="s">
        <v>2875</v>
      </c>
      <c r="G1087" s="578">
        <v>51.95</v>
      </c>
      <c r="H1087" s="532">
        <v>3201381</v>
      </c>
      <c r="J1087" s="323" t="s">
        <v>2865</v>
      </c>
    </row>
    <row r="1088" spans="1:19" x14ac:dyDescent="0.25">
      <c r="A1088" s="321" t="s">
        <v>2834</v>
      </c>
      <c r="B1088" s="323" t="s">
        <v>0</v>
      </c>
      <c r="C1088" s="335" t="s">
        <v>238</v>
      </c>
      <c r="D1088" s="392" t="s">
        <v>2926</v>
      </c>
      <c r="E1088" s="387">
        <v>219070</v>
      </c>
      <c r="F1088" s="314" t="s">
        <v>2940</v>
      </c>
      <c r="G1088" s="578">
        <v>209.9</v>
      </c>
      <c r="H1088" s="532">
        <v>3202031</v>
      </c>
      <c r="J1088" s="323" t="s">
        <v>2933</v>
      </c>
    </row>
    <row r="1089" spans="1:10" x14ac:dyDescent="0.25">
      <c r="A1089" s="321" t="s">
        <v>2834</v>
      </c>
      <c r="B1089" s="323" t="s">
        <v>0</v>
      </c>
      <c r="C1089" s="335" t="s">
        <v>238</v>
      </c>
      <c r="D1089" s="392" t="s">
        <v>1524</v>
      </c>
      <c r="E1089" s="387">
        <v>211949</v>
      </c>
      <c r="F1089" s="314" t="s">
        <v>2898</v>
      </c>
      <c r="G1089" s="578">
        <v>79.7</v>
      </c>
      <c r="H1089" s="532">
        <v>3203680</v>
      </c>
      <c r="J1089" s="323" t="s">
        <v>2892</v>
      </c>
    </row>
    <row r="1090" spans="1:10" x14ac:dyDescent="0.25">
      <c r="A1090" s="321" t="s">
        <v>2834</v>
      </c>
      <c r="B1090" s="323" t="s">
        <v>0</v>
      </c>
      <c r="C1090" s="335" t="s">
        <v>238</v>
      </c>
      <c r="D1090" s="392" t="s">
        <v>1459</v>
      </c>
      <c r="E1090" s="387">
        <v>211617</v>
      </c>
      <c r="F1090" s="314" t="s">
        <v>2877</v>
      </c>
      <c r="G1090" s="578">
        <v>56.4</v>
      </c>
      <c r="H1090" s="532">
        <v>3204307</v>
      </c>
      <c r="J1090" s="323" t="s">
        <v>2867</v>
      </c>
    </row>
    <row r="1091" spans="1:10" x14ac:dyDescent="0.25">
      <c r="A1091" s="321" t="s">
        <v>2834</v>
      </c>
      <c r="B1091" s="323" t="s">
        <v>0</v>
      </c>
      <c r="C1091" s="335" t="s">
        <v>238</v>
      </c>
      <c r="D1091" s="392" t="s">
        <v>2920</v>
      </c>
      <c r="E1091" s="387">
        <v>352492</v>
      </c>
      <c r="F1091" s="314" t="s">
        <v>2935</v>
      </c>
      <c r="G1091" s="578">
        <v>122.89</v>
      </c>
      <c r="H1091" s="532">
        <v>3206261</v>
      </c>
      <c r="J1091" s="323" t="s">
        <v>2928</v>
      </c>
    </row>
    <row r="1092" spans="1:10" x14ac:dyDescent="0.25">
      <c r="A1092" s="321" t="s">
        <v>2834</v>
      </c>
      <c r="B1092" s="323" t="s">
        <v>0</v>
      </c>
      <c r="C1092" s="335" t="s">
        <v>238</v>
      </c>
      <c r="D1092" s="392" t="s">
        <v>2184</v>
      </c>
      <c r="E1092" s="387">
        <v>352825</v>
      </c>
      <c r="F1092" s="314" t="s">
        <v>2880</v>
      </c>
      <c r="G1092" s="578">
        <v>62.22</v>
      </c>
      <c r="H1092" s="532">
        <v>3206959</v>
      </c>
      <c r="J1092" s="323" t="s">
        <v>2871</v>
      </c>
    </row>
    <row r="1093" spans="1:10" x14ac:dyDescent="0.25">
      <c r="A1093" s="321" t="s">
        <v>2834</v>
      </c>
      <c r="B1093" s="323" t="s">
        <v>0</v>
      </c>
      <c r="C1093" s="335" t="s">
        <v>3415</v>
      </c>
      <c r="D1093" s="392" t="s">
        <v>2862</v>
      </c>
      <c r="E1093" s="387">
        <v>352393</v>
      </c>
      <c r="G1093" s="578">
        <v>58.9</v>
      </c>
      <c r="H1093" s="532"/>
      <c r="J1093" s="323" t="s">
        <v>2869</v>
      </c>
    </row>
    <row r="1094" spans="1:10" x14ac:dyDescent="0.25">
      <c r="A1094" s="321" t="s">
        <v>2834</v>
      </c>
      <c r="B1094" s="323" t="s">
        <v>0</v>
      </c>
      <c r="C1094" s="335" t="s">
        <v>238</v>
      </c>
      <c r="D1094" s="392" t="s">
        <v>2925</v>
      </c>
      <c r="E1094" s="387">
        <v>353967</v>
      </c>
      <c r="G1094" s="578">
        <v>204.8</v>
      </c>
      <c r="H1094" s="532"/>
      <c r="J1094" s="323" t="s">
        <v>3217</v>
      </c>
    </row>
    <row r="1095" spans="1:10" x14ac:dyDescent="0.25">
      <c r="A1095" s="321" t="s">
        <v>2834</v>
      </c>
      <c r="B1095" s="323" t="s">
        <v>0</v>
      </c>
      <c r="C1095" s="335" t="s">
        <v>238</v>
      </c>
      <c r="D1095" s="392" t="s">
        <v>2943</v>
      </c>
      <c r="E1095" s="387">
        <v>352448</v>
      </c>
      <c r="G1095" s="578">
        <v>284.33</v>
      </c>
      <c r="H1095" s="532"/>
      <c r="J1095" s="323" t="s">
        <v>2869</v>
      </c>
    </row>
    <row r="1096" spans="1:10" x14ac:dyDescent="0.25">
      <c r="A1096" s="321">
        <v>42887</v>
      </c>
      <c r="B1096" s="323" t="s">
        <v>127</v>
      </c>
      <c r="D1096" s="392" t="s">
        <v>181</v>
      </c>
      <c r="E1096" s="387">
        <v>351215</v>
      </c>
      <c r="G1096" s="578">
        <v>124</v>
      </c>
      <c r="H1096" s="532">
        <v>3198791</v>
      </c>
      <c r="J1096" s="323" t="s">
        <v>182</v>
      </c>
    </row>
    <row r="1097" spans="1:10" x14ac:dyDescent="0.25">
      <c r="A1097" s="321">
        <v>42887</v>
      </c>
      <c r="B1097" s="323" t="s">
        <v>127</v>
      </c>
      <c r="D1097" s="392" t="s">
        <v>2812</v>
      </c>
      <c r="E1097" s="387">
        <v>916</v>
      </c>
      <c r="G1097" s="578">
        <v>181.62</v>
      </c>
      <c r="H1097" s="588">
        <v>3191054</v>
      </c>
      <c r="J1097" s="323" t="s">
        <v>182</v>
      </c>
    </row>
    <row r="1098" spans="1:10" x14ac:dyDescent="0.25">
      <c r="A1098" s="321">
        <v>42888</v>
      </c>
      <c r="B1098" s="323" t="s">
        <v>127</v>
      </c>
      <c r="D1098" s="392" t="s">
        <v>2950</v>
      </c>
      <c r="E1098" s="387">
        <v>213393</v>
      </c>
      <c r="G1098" s="578">
        <v>62.9</v>
      </c>
      <c r="H1098" s="588">
        <v>3198004</v>
      </c>
      <c r="I1098" s="328"/>
      <c r="J1098" s="323" t="s">
        <v>179</v>
      </c>
    </row>
    <row r="1099" spans="1:10" x14ac:dyDescent="0.25">
      <c r="A1099" s="321" t="s">
        <v>2952</v>
      </c>
      <c r="B1099" s="323" t="s">
        <v>0</v>
      </c>
      <c r="C1099" s="335" t="s">
        <v>238</v>
      </c>
      <c r="D1099" s="392" t="s">
        <v>3032</v>
      </c>
      <c r="E1099" s="387">
        <v>351321</v>
      </c>
      <c r="F1099" s="594" t="s">
        <v>3168</v>
      </c>
      <c r="G1099" s="595">
        <v>86.95</v>
      </c>
      <c r="H1099" s="588">
        <v>3200644</v>
      </c>
      <c r="I1099" s="588"/>
      <c r="J1099" s="323" t="s">
        <v>3034</v>
      </c>
    </row>
    <row r="1100" spans="1:10" x14ac:dyDescent="0.25">
      <c r="A1100" s="321" t="s">
        <v>2952</v>
      </c>
      <c r="B1100" s="323" t="s">
        <v>0</v>
      </c>
      <c r="C1100" s="335" t="s">
        <v>238</v>
      </c>
      <c r="D1100" s="392" t="s">
        <v>3027</v>
      </c>
      <c r="E1100" s="387">
        <v>351363</v>
      </c>
      <c r="F1100" s="594" t="s">
        <v>3165</v>
      </c>
      <c r="G1100" s="595">
        <v>81.95</v>
      </c>
      <c r="H1100" s="588">
        <v>3203415</v>
      </c>
      <c r="I1100" s="588"/>
      <c r="J1100" s="323" t="s">
        <v>3030</v>
      </c>
    </row>
    <row r="1101" spans="1:10" x14ac:dyDescent="0.25">
      <c r="A1101" s="321" t="s">
        <v>2952</v>
      </c>
      <c r="B1101" s="323" t="s">
        <v>0</v>
      </c>
      <c r="C1101" s="335" t="s">
        <v>238</v>
      </c>
      <c r="D1101" s="392" t="s">
        <v>3067</v>
      </c>
      <c r="E1101" s="387">
        <v>214913</v>
      </c>
      <c r="F1101" s="594" t="s">
        <v>3191</v>
      </c>
      <c r="G1101" s="595">
        <v>140.77000000000001</v>
      </c>
      <c r="H1101" s="588">
        <v>3204106</v>
      </c>
      <c r="I1101" s="588"/>
      <c r="J1101" s="323" t="s">
        <v>3071</v>
      </c>
    </row>
    <row r="1102" spans="1:10" x14ac:dyDescent="0.25">
      <c r="A1102" s="321" t="s">
        <v>2952</v>
      </c>
      <c r="B1102" s="323" t="s">
        <v>0</v>
      </c>
      <c r="C1102" s="335" t="s">
        <v>238</v>
      </c>
      <c r="D1102" s="392" t="s">
        <v>2993</v>
      </c>
      <c r="E1102" s="387">
        <v>487</v>
      </c>
      <c r="F1102" s="594" t="s">
        <v>3141</v>
      </c>
      <c r="G1102" s="578">
        <v>49.09</v>
      </c>
      <c r="H1102" s="588">
        <v>3206948</v>
      </c>
      <c r="I1102" s="588"/>
      <c r="J1102" s="323" t="s">
        <v>2999</v>
      </c>
    </row>
    <row r="1103" spans="1:10" x14ac:dyDescent="0.25">
      <c r="A1103" s="321" t="s">
        <v>2952</v>
      </c>
      <c r="B1103" s="323" t="s">
        <v>0</v>
      </c>
      <c r="C1103" s="335" t="s">
        <v>238</v>
      </c>
      <c r="D1103" s="392" t="s">
        <v>3039</v>
      </c>
      <c r="E1103" s="387">
        <v>350570</v>
      </c>
      <c r="F1103" s="594" t="s">
        <v>3174</v>
      </c>
      <c r="G1103" s="578">
        <v>100</v>
      </c>
      <c r="H1103" s="588">
        <v>3207019</v>
      </c>
      <c r="I1103" s="588"/>
      <c r="J1103" s="323" t="s">
        <v>3048</v>
      </c>
    </row>
    <row r="1104" spans="1:10" x14ac:dyDescent="0.25">
      <c r="A1104" s="321" t="s">
        <v>2952</v>
      </c>
      <c r="B1104" s="323" t="s">
        <v>0</v>
      </c>
      <c r="C1104" s="335" t="s">
        <v>238</v>
      </c>
      <c r="D1104" s="392" t="s">
        <v>2153</v>
      </c>
      <c r="E1104" s="387">
        <v>351194</v>
      </c>
      <c r="F1104" s="594" t="s">
        <v>3160</v>
      </c>
      <c r="G1104" s="578">
        <v>76.900000000000006</v>
      </c>
      <c r="H1104" s="588">
        <v>3212113</v>
      </c>
      <c r="I1104" s="588"/>
      <c r="J1104" s="323" t="s">
        <v>3023</v>
      </c>
    </row>
    <row r="1105" spans="1:10" x14ac:dyDescent="0.25">
      <c r="A1105" s="321" t="s">
        <v>2952</v>
      </c>
      <c r="B1105" s="323" t="s">
        <v>0</v>
      </c>
      <c r="C1105" s="335" t="s">
        <v>238</v>
      </c>
      <c r="D1105" s="392" t="s">
        <v>2093</v>
      </c>
      <c r="E1105" s="387">
        <v>217319</v>
      </c>
      <c r="F1105" s="594" t="s">
        <v>3125</v>
      </c>
      <c r="G1105" s="578">
        <v>36.950000000000003</v>
      </c>
      <c r="H1105" s="588">
        <v>3214118</v>
      </c>
      <c r="I1105" s="588"/>
      <c r="J1105" s="323" t="s">
        <v>2973</v>
      </c>
    </row>
    <row r="1106" spans="1:10" x14ac:dyDescent="0.25">
      <c r="A1106" s="321" t="s">
        <v>2952</v>
      </c>
      <c r="B1106" s="323" t="s">
        <v>0</v>
      </c>
      <c r="C1106" s="335" t="s">
        <v>238</v>
      </c>
      <c r="D1106" s="392" t="s">
        <v>2533</v>
      </c>
      <c r="E1106" s="387">
        <v>351521</v>
      </c>
      <c r="F1106" s="594" t="s">
        <v>3139</v>
      </c>
      <c r="G1106" s="578">
        <v>47.95</v>
      </c>
      <c r="H1106" s="588">
        <v>3214704</v>
      </c>
      <c r="I1106" s="588"/>
      <c r="J1106" s="323" t="s">
        <v>2997</v>
      </c>
    </row>
    <row r="1107" spans="1:10" x14ac:dyDescent="0.25">
      <c r="A1107" s="321" t="s">
        <v>2952</v>
      </c>
      <c r="B1107" s="323" t="s">
        <v>0</v>
      </c>
      <c r="C1107" s="335" t="s">
        <v>238</v>
      </c>
      <c r="D1107" s="392" t="s">
        <v>2969</v>
      </c>
      <c r="E1107" s="387">
        <v>352303</v>
      </c>
      <c r="F1107" s="594" t="s">
        <v>3123</v>
      </c>
      <c r="G1107" s="578">
        <v>30.76</v>
      </c>
      <c r="H1107" s="588">
        <v>3216499</v>
      </c>
      <c r="I1107" s="588"/>
      <c r="J1107" s="323" t="s">
        <v>2971</v>
      </c>
    </row>
    <row r="1108" spans="1:10" x14ac:dyDescent="0.25">
      <c r="A1108" s="321" t="s">
        <v>2952</v>
      </c>
      <c r="B1108" s="323" t="s">
        <v>0</v>
      </c>
      <c r="C1108" s="335" t="s">
        <v>238</v>
      </c>
      <c r="D1108" s="392" t="s">
        <v>1263</v>
      </c>
      <c r="E1108" s="387">
        <v>350372</v>
      </c>
      <c r="F1108" s="594" t="s">
        <v>3212</v>
      </c>
      <c r="G1108" s="578">
        <v>357.61</v>
      </c>
      <c r="H1108" s="588">
        <v>3216979</v>
      </c>
      <c r="I1108" s="588"/>
      <c r="J1108" s="323" t="s">
        <v>3097</v>
      </c>
    </row>
    <row r="1109" spans="1:10" x14ac:dyDescent="0.25">
      <c r="A1109" s="321" t="s">
        <v>2952</v>
      </c>
      <c r="B1109" s="323" t="s">
        <v>0</v>
      </c>
      <c r="C1109" s="335" t="s">
        <v>238</v>
      </c>
      <c r="D1109" s="392" t="s">
        <v>3056</v>
      </c>
      <c r="E1109" s="387">
        <v>350124</v>
      </c>
      <c r="F1109" s="594" t="s">
        <v>3182</v>
      </c>
      <c r="G1109" s="578">
        <v>115.72</v>
      </c>
      <c r="H1109" s="588">
        <v>3217778</v>
      </c>
      <c r="I1109" s="588"/>
      <c r="J1109" s="323" t="s">
        <v>3059</v>
      </c>
    </row>
    <row r="1110" spans="1:10" x14ac:dyDescent="0.25">
      <c r="A1110" s="321" t="s">
        <v>2952</v>
      </c>
      <c r="B1110" s="323" t="s">
        <v>0</v>
      </c>
      <c r="C1110" s="335" t="s">
        <v>238</v>
      </c>
      <c r="D1110" s="392" t="s">
        <v>3006</v>
      </c>
      <c r="E1110" s="387">
        <v>351720</v>
      </c>
      <c r="F1110" s="594" t="s">
        <v>3147</v>
      </c>
      <c r="G1110" s="578">
        <v>54.5</v>
      </c>
      <c r="H1110" s="588">
        <v>3218203</v>
      </c>
      <c r="I1110" s="588"/>
      <c r="J1110" s="323" t="s">
        <v>3005</v>
      </c>
    </row>
    <row r="1111" spans="1:10" x14ac:dyDescent="0.25">
      <c r="A1111" s="321" t="s">
        <v>2952</v>
      </c>
      <c r="B1111" s="323" t="s">
        <v>0</v>
      </c>
      <c r="C1111" s="335" t="s">
        <v>238</v>
      </c>
      <c r="D1111" s="392" t="s">
        <v>1676</v>
      </c>
      <c r="E1111" s="387">
        <v>352248</v>
      </c>
      <c r="F1111" s="594" t="s">
        <v>3169</v>
      </c>
      <c r="G1111" s="578">
        <v>91.11</v>
      </c>
      <c r="H1111" s="588">
        <v>3220071</v>
      </c>
      <c r="I1111" s="588"/>
      <c r="J1111" s="323" t="s">
        <v>3035</v>
      </c>
    </row>
    <row r="1112" spans="1:10" x14ac:dyDescent="0.25">
      <c r="A1112" s="321" t="s">
        <v>2952</v>
      </c>
      <c r="B1112" s="323" t="s">
        <v>0</v>
      </c>
      <c r="C1112" s="335" t="s">
        <v>238</v>
      </c>
      <c r="D1112" s="392" t="s">
        <v>1291</v>
      </c>
      <c r="E1112" s="387">
        <v>351726</v>
      </c>
      <c r="F1112" s="594" t="s">
        <v>3140</v>
      </c>
      <c r="G1112" s="578">
        <v>48.95</v>
      </c>
      <c r="H1112" s="588">
        <v>3220184</v>
      </c>
      <c r="I1112" s="588"/>
      <c r="J1112" s="323" t="s">
        <v>2998</v>
      </c>
    </row>
    <row r="1113" spans="1:10" x14ac:dyDescent="0.25">
      <c r="A1113" s="321" t="s">
        <v>2952</v>
      </c>
      <c r="B1113" s="323" t="s">
        <v>0</v>
      </c>
      <c r="C1113" s="335" t="s">
        <v>238</v>
      </c>
      <c r="D1113" s="392" t="s">
        <v>3015</v>
      </c>
      <c r="E1113" s="387">
        <v>352451</v>
      </c>
      <c r="F1113" s="594" t="s">
        <v>3150</v>
      </c>
      <c r="G1113" s="578">
        <v>57.38</v>
      </c>
      <c r="H1113" s="588">
        <v>3225250</v>
      </c>
      <c r="I1113" s="588"/>
      <c r="J1113" s="323" t="s">
        <v>3009</v>
      </c>
    </row>
    <row r="1114" spans="1:10" x14ac:dyDescent="0.25">
      <c r="A1114" s="321" t="s">
        <v>2952</v>
      </c>
      <c r="B1114" s="323" t="s">
        <v>0</v>
      </c>
      <c r="C1114" s="335" t="s">
        <v>238</v>
      </c>
      <c r="D1114" s="392" t="s">
        <v>2263</v>
      </c>
      <c r="E1114" s="387">
        <v>350037</v>
      </c>
      <c r="F1114" s="594" t="s">
        <v>3205</v>
      </c>
      <c r="G1114" s="578">
        <v>133.80000000000001</v>
      </c>
      <c r="H1114" s="588">
        <v>3225514</v>
      </c>
      <c r="I1114" s="588"/>
      <c r="J1114" s="323" t="s">
        <v>3087</v>
      </c>
    </row>
    <row r="1115" spans="1:10" x14ac:dyDescent="0.25">
      <c r="A1115" s="321" t="s">
        <v>2952</v>
      </c>
      <c r="B1115" s="323" t="s">
        <v>0</v>
      </c>
      <c r="C1115" s="335" t="s">
        <v>238</v>
      </c>
      <c r="D1115" s="392" t="s">
        <v>3042</v>
      </c>
      <c r="E1115" s="387">
        <v>352363</v>
      </c>
      <c r="F1115" s="594" t="s">
        <v>3178</v>
      </c>
      <c r="G1115" s="578">
        <v>104.76</v>
      </c>
      <c r="H1115" s="588">
        <v>3226559</v>
      </c>
      <c r="I1115" s="588"/>
      <c r="J1115" s="323" t="s">
        <v>3052</v>
      </c>
    </row>
    <row r="1116" spans="1:10" x14ac:dyDescent="0.25">
      <c r="A1116" s="321" t="s">
        <v>2952</v>
      </c>
      <c r="B1116" s="323" t="s">
        <v>0</v>
      </c>
      <c r="C1116" s="335" t="s">
        <v>238</v>
      </c>
      <c r="D1116" s="392" t="s">
        <v>2988</v>
      </c>
      <c r="E1116" s="387">
        <v>350018</v>
      </c>
      <c r="F1116" s="594" t="s">
        <v>3135</v>
      </c>
      <c r="G1116" s="578">
        <v>46.33</v>
      </c>
      <c r="H1116" s="588">
        <v>3227739</v>
      </c>
      <c r="I1116" s="588"/>
      <c r="J1116" s="323" t="s">
        <v>2987</v>
      </c>
    </row>
    <row r="1117" spans="1:10" x14ac:dyDescent="0.25">
      <c r="A1117" s="321" t="s">
        <v>2952</v>
      </c>
      <c r="B1117" s="323" t="s">
        <v>0</v>
      </c>
      <c r="C1117" s="335" t="s">
        <v>238</v>
      </c>
      <c r="D1117" s="392" t="s">
        <v>3017</v>
      </c>
      <c r="E1117" s="387">
        <v>351062</v>
      </c>
      <c r="F1117" s="594" t="s">
        <v>3154</v>
      </c>
      <c r="G1117" s="578">
        <v>62.89</v>
      </c>
      <c r="H1117" s="588">
        <v>3227785</v>
      </c>
      <c r="I1117" s="588"/>
      <c r="J1117" s="323" t="s">
        <v>3013</v>
      </c>
    </row>
    <row r="1118" spans="1:10" x14ac:dyDescent="0.25">
      <c r="A1118" s="321" t="s">
        <v>2952</v>
      </c>
      <c r="B1118" s="323" t="s">
        <v>0</v>
      </c>
      <c r="C1118" s="335" t="s">
        <v>238</v>
      </c>
      <c r="D1118" s="392" t="s">
        <v>2263</v>
      </c>
      <c r="E1118" s="387">
        <v>350037</v>
      </c>
      <c r="F1118" s="594" t="s">
        <v>3204</v>
      </c>
      <c r="G1118" s="578">
        <v>81.47</v>
      </c>
      <c r="H1118" s="588">
        <v>3229138</v>
      </c>
      <c r="I1118" s="588"/>
      <c r="J1118" s="323" t="s">
        <v>3087</v>
      </c>
    </row>
    <row r="1119" spans="1:10" x14ac:dyDescent="0.25">
      <c r="A1119" s="321" t="s">
        <v>2952</v>
      </c>
      <c r="B1119" s="323" t="s">
        <v>0</v>
      </c>
      <c r="C1119" s="335" t="s">
        <v>238</v>
      </c>
      <c r="D1119" s="392" t="s">
        <v>2995</v>
      </c>
      <c r="E1119" s="387">
        <v>214828</v>
      </c>
      <c r="F1119" s="594" t="s">
        <v>3145</v>
      </c>
      <c r="G1119" s="578">
        <v>51.11</v>
      </c>
      <c r="H1119" s="588">
        <v>3229743</v>
      </c>
      <c r="I1119" s="588"/>
      <c r="J1119" s="323" t="s">
        <v>3003</v>
      </c>
    </row>
    <row r="1120" spans="1:10" x14ac:dyDescent="0.25">
      <c r="A1120" s="321" t="s">
        <v>2952</v>
      </c>
      <c r="B1120" s="323" t="s">
        <v>0</v>
      </c>
      <c r="C1120" s="335" t="s">
        <v>238</v>
      </c>
      <c r="D1120" s="392" t="s">
        <v>2979</v>
      </c>
      <c r="E1120" s="387">
        <v>350415</v>
      </c>
      <c r="F1120" s="594" t="s">
        <v>3131</v>
      </c>
      <c r="G1120" s="578">
        <v>42.52</v>
      </c>
      <c r="H1120" s="588">
        <v>3230727</v>
      </c>
      <c r="I1120" s="588"/>
      <c r="J1120" s="323" t="s">
        <v>2983</v>
      </c>
    </row>
    <row r="1121" spans="1:10" x14ac:dyDescent="0.25">
      <c r="A1121" s="321" t="s">
        <v>2952</v>
      </c>
      <c r="B1121" s="323" t="s">
        <v>0</v>
      </c>
      <c r="C1121" s="335" t="s">
        <v>238</v>
      </c>
      <c r="D1121" s="392" t="s">
        <v>3043</v>
      </c>
      <c r="E1121" s="387">
        <v>352233</v>
      </c>
      <c r="F1121" s="594" t="s">
        <v>3181</v>
      </c>
      <c r="G1121" s="578">
        <v>111.65</v>
      </c>
      <c r="H1121" s="588">
        <v>3230993</v>
      </c>
      <c r="I1121" s="588"/>
      <c r="J1121" s="323" t="s">
        <v>3055</v>
      </c>
    </row>
    <row r="1122" spans="1:10" x14ac:dyDescent="0.25">
      <c r="A1122" s="321" t="s">
        <v>2952</v>
      </c>
      <c r="B1122" s="323" t="s">
        <v>0</v>
      </c>
      <c r="C1122" s="335" t="s">
        <v>238</v>
      </c>
      <c r="D1122" s="392" t="s">
        <v>2980</v>
      </c>
      <c r="E1122" s="387">
        <v>352420</v>
      </c>
      <c r="F1122" s="594" t="s">
        <v>3133</v>
      </c>
      <c r="G1122" s="578">
        <v>43.75</v>
      </c>
      <c r="H1122" s="588">
        <v>3231751</v>
      </c>
      <c r="I1122" s="588"/>
      <c r="J1122" s="323" t="s">
        <v>2985</v>
      </c>
    </row>
    <row r="1123" spans="1:10" x14ac:dyDescent="0.25">
      <c r="A1123" s="321" t="s">
        <v>2952</v>
      </c>
      <c r="B1123" s="323" t="s">
        <v>0</v>
      </c>
      <c r="C1123" s="335" t="s">
        <v>238</v>
      </c>
      <c r="D1123" s="392" t="s">
        <v>3095</v>
      </c>
      <c r="E1123" s="387">
        <v>351277</v>
      </c>
      <c r="F1123" s="594" t="s">
        <v>3210</v>
      </c>
      <c r="G1123" s="578">
        <v>347.88</v>
      </c>
      <c r="H1123" s="588">
        <v>3232803</v>
      </c>
      <c r="I1123" s="588"/>
      <c r="J1123" s="323" t="s">
        <v>3096</v>
      </c>
    </row>
    <row r="1124" spans="1:10" x14ac:dyDescent="0.25">
      <c r="A1124" s="321" t="s">
        <v>2952</v>
      </c>
      <c r="B1124" s="323" t="s">
        <v>0</v>
      </c>
      <c r="C1124" s="335" t="s">
        <v>238</v>
      </c>
      <c r="D1124" s="392" t="s">
        <v>49</v>
      </c>
      <c r="E1124" s="387">
        <v>350920</v>
      </c>
      <c r="F1124" s="594" t="s">
        <v>3163</v>
      </c>
      <c r="G1124" s="578">
        <v>80.95</v>
      </c>
      <c r="H1124" s="588">
        <v>3232987</v>
      </c>
      <c r="I1124" s="588"/>
      <c r="J1124" s="323" t="s">
        <v>3026</v>
      </c>
    </row>
    <row r="1125" spans="1:10" x14ac:dyDescent="0.25">
      <c r="A1125" s="321" t="s">
        <v>2952</v>
      </c>
      <c r="B1125" s="323" t="s">
        <v>0</v>
      </c>
      <c r="C1125" s="335" t="s">
        <v>238</v>
      </c>
      <c r="D1125" s="392" t="s">
        <v>3038</v>
      </c>
      <c r="E1125" s="387">
        <v>352927</v>
      </c>
      <c r="F1125" s="594" t="s">
        <v>3173</v>
      </c>
      <c r="G1125" s="578">
        <v>98.79</v>
      </c>
      <c r="H1125" s="588">
        <v>3233223</v>
      </c>
      <c r="I1125" s="588"/>
      <c r="J1125" s="323" t="s">
        <v>3047</v>
      </c>
    </row>
    <row r="1126" spans="1:10" x14ac:dyDescent="0.25">
      <c r="A1126" s="321" t="s">
        <v>2952</v>
      </c>
      <c r="B1126" s="323" t="s">
        <v>0</v>
      </c>
      <c r="C1126" s="335" t="s">
        <v>238</v>
      </c>
      <c r="D1126" s="392" t="s">
        <v>2958</v>
      </c>
      <c r="E1126" s="387">
        <v>350017</v>
      </c>
      <c r="F1126" s="594" t="s">
        <v>3115</v>
      </c>
      <c r="G1126" s="578">
        <v>22.75</v>
      </c>
      <c r="H1126" s="588">
        <v>3233940</v>
      </c>
      <c r="I1126" s="588"/>
      <c r="J1126" s="323" t="s">
        <v>2960</v>
      </c>
    </row>
    <row r="1127" spans="1:10" x14ac:dyDescent="0.25">
      <c r="A1127" s="321" t="s">
        <v>2952</v>
      </c>
      <c r="B1127" s="323" t="s">
        <v>0</v>
      </c>
      <c r="C1127" s="335" t="s">
        <v>238</v>
      </c>
      <c r="D1127" s="392" t="s">
        <v>3041</v>
      </c>
      <c r="E1127" s="387">
        <v>80184</v>
      </c>
      <c r="F1127" s="594" t="s">
        <v>3177</v>
      </c>
      <c r="G1127" s="578">
        <v>103.46</v>
      </c>
      <c r="H1127" s="588">
        <v>3236241</v>
      </c>
      <c r="I1127" s="588"/>
      <c r="J1127" s="323" t="s">
        <v>3051</v>
      </c>
    </row>
    <row r="1128" spans="1:10" x14ac:dyDescent="0.25">
      <c r="A1128" s="321" t="s">
        <v>2952</v>
      </c>
      <c r="B1128" s="323" t="s">
        <v>0</v>
      </c>
      <c r="C1128" s="335" t="s">
        <v>238</v>
      </c>
      <c r="D1128" s="392" t="s">
        <v>94</v>
      </c>
      <c r="E1128" s="387">
        <v>350522</v>
      </c>
      <c r="F1128" s="594" t="s">
        <v>3119</v>
      </c>
      <c r="G1128" s="578">
        <v>24.76</v>
      </c>
      <c r="H1128" s="588">
        <v>3237045</v>
      </c>
      <c r="I1128" s="588"/>
      <c r="J1128" s="323" t="s">
        <v>2964</v>
      </c>
    </row>
    <row r="1129" spans="1:10" x14ac:dyDescent="0.25">
      <c r="A1129" s="321" t="s">
        <v>2952</v>
      </c>
      <c r="B1129" s="323" t="s">
        <v>0</v>
      </c>
      <c r="C1129" s="335" t="s">
        <v>238</v>
      </c>
      <c r="D1129" s="392" t="s">
        <v>2226</v>
      </c>
      <c r="E1129" s="387">
        <v>352378</v>
      </c>
      <c r="F1129" s="594" t="s">
        <v>3167</v>
      </c>
      <c r="G1129" s="578">
        <v>86.72</v>
      </c>
      <c r="H1129" s="588">
        <v>3237652</v>
      </c>
      <c r="I1129" s="588"/>
      <c r="J1129" s="323" t="s">
        <v>3033</v>
      </c>
    </row>
    <row r="1130" spans="1:10" x14ac:dyDescent="0.25">
      <c r="A1130" s="321" t="s">
        <v>2952</v>
      </c>
      <c r="B1130" s="323" t="s">
        <v>0</v>
      </c>
      <c r="C1130" s="335" t="s">
        <v>238</v>
      </c>
      <c r="D1130" s="392" t="s">
        <v>3028</v>
      </c>
      <c r="E1130" s="387">
        <v>8032</v>
      </c>
      <c r="F1130" s="594" t="s">
        <v>3166</v>
      </c>
      <c r="G1130" s="578">
        <v>85.45</v>
      </c>
      <c r="H1130" s="588">
        <v>3238269</v>
      </c>
      <c r="I1130" s="588"/>
      <c r="J1130" s="323" t="s">
        <v>3031</v>
      </c>
    </row>
    <row r="1131" spans="1:10" x14ac:dyDescent="0.25">
      <c r="A1131" s="321" t="s">
        <v>2952</v>
      </c>
      <c r="B1131" s="323" t="s">
        <v>0</v>
      </c>
      <c r="C1131" s="335" t="s">
        <v>238</v>
      </c>
      <c r="D1131" s="392" t="s">
        <v>1285</v>
      </c>
      <c r="E1131" s="387">
        <v>211486</v>
      </c>
      <c r="F1131" s="594" t="s">
        <v>3128</v>
      </c>
      <c r="G1131" s="578">
        <v>38.75</v>
      </c>
      <c r="H1131" s="588">
        <v>3243369</v>
      </c>
      <c r="I1131" s="588"/>
      <c r="J1131" s="323" t="s">
        <v>2976</v>
      </c>
    </row>
    <row r="1132" spans="1:10" x14ac:dyDescent="0.25">
      <c r="A1132" s="321" t="s">
        <v>2952</v>
      </c>
      <c r="B1132" s="323" t="s">
        <v>0</v>
      </c>
      <c r="C1132" s="335" t="s">
        <v>238</v>
      </c>
      <c r="D1132" s="392" t="s">
        <v>3036</v>
      </c>
      <c r="E1132" s="387">
        <v>352762</v>
      </c>
      <c r="F1132" s="594" t="s">
        <v>3170</v>
      </c>
      <c r="G1132" s="578">
        <v>96.49</v>
      </c>
      <c r="H1132" s="588">
        <v>3243871</v>
      </c>
      <c r="I1132" s="588"/>
      <c r="J1132" s="323" t="s">
        <v>3044</v>
      </c>
    </row>
    <row r="1133" spans="1:10" x14ac:dyDescent="0.25">
      <c r="A1133" s="321" t="s">
        <v>2952</v>
      </c>
      <c r="B1133" s="323" t="s">
        <v>0</v>
      </c>
      <c r="C1133" s="335" t="s">
        <v>238</v>
      </c>
      <c r="D1133" s="392" t="s">
        <v>2970</v>
      </c>
      <c r="E1133" s="387">
        <v>350264</v>
      </c>
      <c r="F1133" s="594" t="s">
        <v>3127</v>
      </c>
      <c r="G1133" s="578">
        <v>37.85</v>
      </c>
      <c r="H1133" s="588">
        <v>3244883</v>
      </c>
      <c r="I1133" s="588"/>
      <c r="J1133" s="323" t="s">
        <v>2975</v>
      </c>
    </row>
    <row r="1134" spans="1:10" x14ac:dyDescent="0.25">
      <c r="A1134" s="321" t="s">
        <v>2952</v>
      </c>
      <c r="B1134" s="323" t="s">
        <v>0</v>
      </c>
      <c r="C1134" s="335" t="s">
        <v>238</v>
      </c>
      <c r="D1134" s="392" t="s">
        <v>1978</v>
      </c>
      <c r="E1134" s="387">
        <v>350577</v>
      </c>
      <c r="F1134" s="594" t="s">
        <v>3124</v>
      </c>
      <c r="G1134" s="578">
        <v>34.94</v>
      </c>
      <c r="H1134" s="588">
        <v>3244892</v>
      </c>
      <c r="I1134" s="588"/>
      <c r="J1134" s="323" t="s">
        <v>2972</v>
      </c>
    </row>
    <row r="1135" spans="1:10" x14ac:dyDescent="0.25">
      <c r="A1135" s="321" t="s">
        <v>2952</v>
      </c>
      <c r="B1135" s="323" t="s">
        <v>0</v>
      </c>
      <c r="C1135" s="335" t="s">
        <v>238</v>
      </c>
      <c r="D1135" s="392" t="s">
        <v>2584</v>
      </c>
      <c r="E1135" s="387">
        <v>218515</v>
      </c>
      <c r="F1135" s="594" t="s">
        <v>3136</v>
      </c>
      <c r="G1135" s="578">
        <v>23.95</v>
      </c>
      <c r="H1135" s="588">
        <v>3246440</v>
      </c>
      <c r="I1135" s="588"/>
      <c r="J1135" s="323" t="s">
        <v>2989</v>
      </c>
    </row>
    <row r="1136" spans="1:10" x14ac:dyDescent="0.25">
      <c r="A1136" s="321" t="s">
        <v>2952</v>
      </c>
      <c r="B1136" s="323" t="s">
        <v>0</v>
      </c>
      <c r="C1136" s="335" t="s">
        <v>238</v>
      </c>
      <c r="D1136" s="392" t="s">
        <v>1263</v>
      </c>
      <c r="E1136" s="387">
        <v>350372</v>
      </c>
      <c r="F1136" s="594" t="s">
        <v>3211</v>
      </c>
      <c r="G1136" s="578">
        <v>54.91</v>
      </c>
      <c r="H1136" s="588">
        <v>3246618</v>
      </c>
      <c r="I1136" s="588"/>
      <c r="J1136" s="323" t="s">
        <v>3097</v>
      </c>
    </row>
    <row r="1137" spans="1:10" x14ac:dyDescent="0.25">
      <c r="A1137" s="321" t="s">
        <v>2952</v>
      </c>
      <c r="B1137" s="323" t="s">
        <v>0</v>
      </c>
      <c r="C1137" s="335" t="s">
        <v>3414</v>
      </c>
      <c r="D1137" s="392" t="s">
        <v>2862</v>
      </c>
      <c r="E1137" s="387">
        <v>352393</v>
      </c>
      <c r="F1137" s="532"/>
      <c r="G1137" s="578">
        <v>356.73</v>
      </c>
      <c r="H1137" s="532"/>
      <c r="J1137" s="323" t="s">
        <v>2374</v>
      </c>
    </row>
    <row r="1138" spans="1:10" x14ac:dyDescent="0.25">
      <c r="A1138" s="321" t="s">
        <v>2952</v>
      </c>
      <c r="B1138" s="323" t="s">
        <v>0</v>
      </c>
      <c r="C1138" s="335" t="s">
        <v>238</v>
      </c>
      <c r="D1138" s="392" t="s">
        <v>3058</v>
      </c>
      <c r="E1138" s="387">
        <v>226328</v>
      </c>
      <c r="F1138" s="594" t="s">
        <v>3184</v>
      </c>
      <c r="G1138" s="578">
        <v>116.85</v>
      </c>
      <c r="H1138" s="588">
        <v>3203848</v>
      </c>
      <c r="I1138" s="588"/>
      <c r="J1138" s="323" t="s">
        <v>3061</v>
      </c>
    </row>
    <row r="1139" spans="1:10" x14ac:dyDescent="0.25">
      <c r="A1139" s="321" t="s">
        <v>2952</v>
      </c>
      <c r="B1139" s="323" t="s">
        <v>0</v>
      </c>
      <c r="D1139" s="392" t="s">
        <v>3106</v>
      </c>
      <c r="E1139" s="387">
        <v>351470</v>
      </c>
      <c r="F1139" s="594" t="s">
        <v>3216</v>
      </c>
      <c r="G1139" s="578">
        <v>-65.37</v>
      </c>
      <c r="H1139" s="588">
        <v>3205670</v>
      </c>
      <c r="I1139" s="588"/>
      <c r="J1139" s="323" t="s">
        <v>3107</v>
      </c>
    </row>
    <row r="1140" spans="1:10" x14ac:dyDescent="0.25">
      <c r="A1140" s="321" t="s">
        <v>2952</v>
      </c>
      <c r="B1140" s="323" t="s">
        <v>0</v>
      </c>
      <c r="C1140" s="335" t="s">
        <v>238</v>
      </c>
      <c r="D1140" s="392" t="s">
        <v>3040</v>
      </c>
      <c r="E1140" s="387">
        <v>213291</v>
      </c>
      <c r="F1140" s="594" t="s">
        <v>3176</v>
      </c>
      <c r="G1140" s="578">
        <v>102.95</v>
      </c>
      <c r="H1140" s="588">
        <v>3208372</v>
      </c>
      <c r="I1140" s="588"/>
      <c r="J1140" s="323" t="s">
        <v>3050</v>
      </c>
    </row>
    <row r="1141" spans="1:10" x14ac:dyDescent="0.25">
      <c r="A1141" s="321" t="s">
        <v>2952</v>
      </c>
      <c r="B1141" s="323" t="s">
        <v>0</v>
      </c>
      <c r="C1141" s="335" t="s">
        <v>238</v>
      </c>
      <c r="D1141" s="392" t="s">
        <v>181</v>
      </c>
      <c r="E1141" s="387">
        <v>351215</v>
      </c>
      <c r="F1141" s="390" t="s">
        <v>3109</v>
      </c>
      <c r="G1141" s="578">
        <v>111</v>
      </c>
      <c r="H1141" s="588">
        <v>3208600</v>
      </c>
      <c r="I1141" s="588"/>
      <c r="J1141" s="323" t="s">
        <v>2953</v>
      </c>
    </row>
    <row r="1142" spans="1:10" x14ac:dyDescent="0.25">
      <c r="A1142" s="321" t="s">
        <v>2952</v>
      </c>
      <c r="B1142" s="323" t="s">
        <v>0</v>
      </c>
      <c r="C1142" s="335" t="s">
        <v>238</v>
      </c>
      <c r="D1142" s="392" t="s">
        <v>3074</v>
      </c>
      <c r="E1142" s="387">
        <v>225933</v>
      </c>
      <c r="F1142" s="594" t="s">
        <v>3198</v>
      </c>
      <c r="G1142" s="578">
        <v>165.55</v>
      </c>
      <c r="H1142" s="588">
        <v>3208856</v>
      </c>
      <c r="I1142" s="588"/>
      <c r="J1142" s="323" t="s">
        <v>3081</v>
      </c>
    </row>
    <row r="1143" spans="1:10" x14ac:dyDescent="0.25">
      <c r="A1143" s="321" t="s">
        <v>2952</v>
      </c>
      <c r="B1143" s="323" t="s">
        <v>0</v>
      </c>
      <c r="C1143" s="335" t="s">
        <v>238</v>
      </c>
      <c r="D1143" s="392" t="s">
        <v>181</v>
      </c>
      <c r="E1143" s="387">
        <v>351215</v>
      </c>
      <c r="F1143" s="390" t="s">
        <v>3110</v>
      </c>
      <c r="G1143" s="578">
        <v>171</v>
      </c>
      <c r="H1143" s="588">
        <v>3209273</v>
      </c>
      <c r="I1143" s="588"/>
      <c r="J1143" s="323" t="s">
        <v>2953</v>
      </c>
    </row>
    <row r="1144" spans="1:10" x14ac:dyDescent="0.25">
      <c r="A1144" s="321" t="s">
        <v>2952</v>
      </c>
      <c r="B1144" s="323" t="s">
        <v>0</v>
      </c>
      <c r="C1144" s="335" t="s">
        <v>238</v>
      </c>
      <c r="D1144" s="392" t="s">
        <v>1491</v>
      </c>
      <c r="E1144" s="387">
        <v>351915</v>
      </c>
      <c r="F1144" s="594" t="s">
        <v>3126</v>
      </c>
      <c r="G1144" s="578">
        <v>37.659999999999997</v>
      </c>
      <c r="H1144" s="588">
        <v>3209732</v>
      </c>
      <c r="I1144" s="588"/>
      <c r="J1144" s="323" t="s">
        <v>2974</v>
      </c>
    </row>
    <row r="1145" spans="1:10" x14ac:dyDescent="0.25">
      <c r="A1145" s="321" t="s">
        <v>2952</v>
      </c>
      <c r="B1145" s="323" t="s">
        <v>0</v>
      </c>
      <c r="C1145" s="335" t="s">
        <v>238</v>
      </c>
      <c r="D1145" s="392" t="s">
        <v>1019</v>
      </c>
      <c r="E1145" s="387">
        <v>220059</v>
      </c>
      <c r="F1145" s="594" t="s">
        <v>3161</v>
      </c>
      <c r="G1145" s="578">
        <v>78.650000000000006</v>
      </c>
      <c r="H1145" s="588">
        <v>3211143</v>
      </c>
      <c r="I1145" s="588"/>
      <c r="J1145" s="323" t="s">
        <v>3024</v>
      </c>
    </row>
    <row r="1146" spans="1:10" x14ac:dyDescent="0.25">
      <c r="A1146" s="321" t="s">
        <v>2952</v>
      </c>
      <c r="B1146" s="323" t="s">
        <v>0</v>
      </c>
      <c r="C1146" s="335" t="s">
        <v>238</v>
      </c>
      <c r="D1146" s="392" t="s">
        <v>204</v>
      </c>
      <c r="E1146" s="387">
        <v>226638</v>
      </c>
      <c r="F1146" s="594" t="s">
        <v>3162</v>
      </c>
      <c r="G1146" s="578">
        <v>79.95</v>
      </c>
      <c r="H1146" s="588">
        <v>3211704</v>
      </c>
      <c r="I1146" s="588"/>
      <c r="J1146" s="323" t="s">
        <v>3025</v>
      </c>
    </row>
    <row r="1147" spans="1:10" x14ac:dyDescent="0.25">
      <c r="A1147" s="321" t="s">
        <v>2952</v>
      </c>
      <c r="B1147" s="323" t="s">
        <v>0</v>
      </c>
      <c r="C1147" s="335" t="s">
        <v>238</v>
      </c>
      <c r="D1147" s="392" t="s">
        <v>3075</v>
      </c>
      <c r="E1147" s="387">
        <v>350378</v>
      </c>
      <c r="F1147" s="594" t="s">
        <v>3199</v>
      </c>
      <c r="G1147" s="578">
        <v>177.9</v>
      </c>
      <c r="H1147" s="588">
        <v>3212579</v>
      </c>
      <c r="I1147" s="588"/>
      <c r="J1147" s="323" t="s">
        <v>3082</v>
      </c>
    </row>
    <row r="1148" spans="1:10" x14ac:dyDescent="0.25">
      <c r="A1148" s="321" t="s">
        <v>2952</v>
      </c>
      <c r="B1148" s="323" t="s">
        <v>0</v>
      </c>
      <c r="C1148" s="335" t="s">
        <v>238</v>
      </c>
      <c r="D1148" s="392" t="s">
        <v>1518</v>
      </c>
      <c r="E1148" s="387">
        <v>211577</v>
      </c>
      <c r="F1148" s="594" t="s">
        <v>3202</v>
      </c>
      <c r="G1148" s="578">
        <v>204.28</v>
      </c>
      <c r="H1148" s="588">
        <v>3212712</v>
      </c>
      <c r="I1148" s="588"/>
      <c r="J1148" s="323" t="s">
        <v>3085</v>
      </c>
    </row>
    <row r="1149" spans="1:10" x14ac:dyDescent="0.25">
      <c r="A1149" s="321" t="s">
        <v>2952</v>
      </c>
      <c r="B1149" s="323" t="s">
        <v>0</v>
      </c>
      <c r="C1149" s="335" t="s">
        <v>238</v>
      </c>
      <c r="D1149" s="392" t="s">
        <v>2151</v>
      </c>
      <c r="E1149" s="387">
        <v>213229</v>
      </c>
      <c r="F1149" s="594" t="s">
        <v>3194</v>
      </c>
      <c r="G1149" s="578">
        <v>67.95</v>
      </c>
      <c r="H1149" s="588">
        <v>3212934</v>
      </c>
      <c r="I1149" s="588"/>
      <c r="J1149" s="323" t="s">
        <v>3078</v>
      </c>
    </row>
    <row r="1150" spans="1:10" x14ac:dyDescent="0.25">
      <c r="A1150" s="321" t="s">
        <v>2952</v>
      </c>
      <c r="B1150" s="323" t="s">
        <v>0</v>
      </c>
      <c r="C1150" s="335" t="s">
        <v>238</v>
      </c>
      <c r="D1150" s="392" t="s">
        <v>3016</v>
      </c>
      <c r="E1150" s="387">
        <v>35009</v>
      </c>
      <c r="F1150" s="594" t="s">
        <v>3153</v>
      </c>
      <c r="G1150" s="578">
        <v>62.39</v>
      </c>
      <c r="H1150" s="588">
        <v>3212935</v>
      </c>
      <c r="I1150" s="588"/>
      <c r="J1150" s="323" t="s">
        <v>3012</v>
      </c>
    </row>
    <row r="1151" spans="1:10" x14ac:dyDescent="0.25">
      <c r="A1151" s="321" t="s">
        <v>2952</v>
      </c>
      <c r="B1151" s="323" t="s">
        <v>0</v>
      </c>
      <c r="C1151" s="335" t="s">
        <v>238</v>
      </c>
      <c r="D1151" s="392" t="s">
        <v>181</v>
      </c>
      <c r="E1151" s="387">
        <v>351215</v>
      </c>
      <c r="F1151" s="390" t="s">
        <v>3111</v>
      </c>
      <c r="G1151" s="578">
        <v>22.9</v>
      </c>
      <c r="H1151" s="588">
        <v>3213485</v>
      </c>
      <c r="I1151" s="588"/>
      <c r="J1151" s="323" t="s">
        <v>2953</v>
      </c>
    </row>
    <row r="1152" spans="1:10" x14ac:dyDescent="0.25">
      <c r="A1152" s="321" t="s">
        <v>2952</v>
      </c>
      <c r="B1152" s="323" t="s">
        <v>0</v>
      </c>
      <c r="C1152" s="335" t="s">
        <v>238</v>
      </c>
      <c r="D1152" s="392" t="s">
        <v>1897</v>
      </c>
      <c r="E1152" s="387">
        <v>352658</v>
      </c>
      <c r="F1152" s="594" t="s">
        <v>3143</v>
      </c>
      <c r="G1152" s="578">
        <v>49.9</v>
      </c>
      <c r="H1152" s="588">
        <v>3213613</v>
      </c>
      <c r="I1152" s="588"/>
      <c r="J1152" s="323" t="s">
        <v>3001</v>
      </c>
    </row>
    <row r="1153" spans="1:10" x14ac:dyDescent="0.25">
      <c r="A1153" s="321" t="s">
        <v>2952</v>
      </c>
      <c r="B1153" s="323" t="s">
        <v>0</v>
      </c>
      <c r="C1153" s="335" t="s">
        <v>238</v>
      </c>
      <c r="D1153" s="392" t="s">
        <v>2277</v>
      </c>
      <c r="E1153" s="387">
        <v>352463</v>
      </c>
      <c r="F1153" s="594" t="s">
        <v>3117</v>
      </c>
      <c r="G1153" s="578">
        <v>22.95</v>
      </c>
      <c r="H1153" s="588">
        <v>3214659</v>
      </c>
      <c r="I1153" s="588"/>
      <c r="J1153" s="323" t="s">
        <v>2962</v>
      </c>
    </row>
    <row r="1154" spans="1:10" x14ac:dyDescent="0.25">
      <c r="A1154" s="321" t="s">
        <v>2952</v>
      </c>
      <c r="B1154" s="323" t="s">
        <v>0</v>
      </c>
      <c r="C1154" s="335" t="s">
        <v>238</v>
      </c>
      <c r="D1154" s="392" t="s">
        <v>3064</v>
      </c>
      <c r="E1154" s="387">
        <v>350501</v>
      </c>
      <c r="F1154" s="594" t="s">
        <v>3187</v>
      </c>
      <c r="G1154" s="578">
        <v>133.94999999999999</v>
      </c>
      <c r="H1154" s="588">
        <v>3214763</v>
      </c>
      <c r="I1154" s="588"/>
      <c r="J1154" s="323" t="s">
        <v>3068</v>
      </c>
    </row>
    <row r="1155" spans="1:10" x14ac:dyDescent="0.25">
      <c r="A1155" s="321" t="s">
        <v>2952</v>
      </c>
      <c r="B1155" s="323" t="s">
        <v>0</v>
      </c>
      <c r="C1155" s="335" t="s">
        <v>238</v>
      </c>
      <c r="D1155" s="392" t="s">
        <v>2479</v>
      </c>
      <c r="E1155" s="387">
        <v>352050</v>
      </c>
      <c r="F1155" s="594" t="s">
        <v>3158</v>
      </c>
      <c r="G1155" s="578">
        <v>67.459999999999994</v>
      </c>
      <c r="H1155" s="588">
        <v>3215594</v>
      </c>
      <c r="I1155" s="588"/>
      <c r="J1155" s="323" t="s">
        <v>3112</v>
      </c>
    </row>
    <row r="1156" spans="1:10" x14ac:dyDescent="0.25">
      <c r="A1156" s="321" t="s">
        <v>2952</v>
      </c>
      <c r="B1156" s="323" t="s">
        <v>0</v>
      </c>
      <c r="C1156" s="335" t="s">
        <v>238</v>
      </c>
      <c r="D1156" s="392" t="s">
        <v>1671</v>
      </c>
      <c r="E1156" s="387">
        <v>214427</v>
      </c>
      <c r="F1156" s="594" t="s">
        <v>3175</v>
      </c>
      <c r="G1156" s="578">
        <v>100.95</v>
      </c>
      <c r="H1156" s="588">
        <v>3216781</v>
      </c>
      <c r="I1156" s="588"/>
      <c r="J1156" s="323" t="s">
        <v>3049</v>
      </c>
    </row>
    <row r="1157" spans="1:10" x14ac:dyDescent="0.25">
      <c r="A1157" s="321" t="s">
        <v>2952</v>
      </c>
      <c r="B1157" s="323" t="s">
        <v>0</v>
      </c>
      <c r="C1157" s="335" t="s">
        <v>238</v>
      </c>
      <c r="D1157" s="392" t="s">
        <v>2991</v>
      </c>
      <c r="E1157" s="387">
        <v>353779</v>
      </c>
      <c r="F1157" s="594" t="s">
        <v>3137</v>
      </c>
      <c r="G1157" s="578">
        <v>25.27</v>
      </c>
      <c r="H1157" s="588">
        <v>3217689</v>
      </c>
      <c r="I1157" s="588"/>
      <c r="J1157" s="323" t="s">
        <v>2990</v>
      </c>
    </row>
    <row r="1158" spans="1:10" x14ac:dyDescent="0.25">
      <c r="A1158" s="321" t="s">
        <v>2952</v>
      </c>
      <c r="B1158" s="323" t="s">
        <v>0</v>
      </c>
      <c r="C1158" s="335" t="s">
        <v>238</v>
      </c>
      <c r="D1158" s="392" t="s">
        <v>3094</v>
      </c>
      <c r="E1158" s="387">
        <v>351716</v>
      </c>
      <c r="F1158" s="594" t="s">
        <v>3209</v>
      </c>
      <c r="G1158" s="578">
        <v>297.95</v>
      </c>
      <c r="H1158" s="588">
        <v>3218796</v>
      </c>
      <c r="I1158" s="588"/>
      <c r="J1158" s="323" t="s">
        <v>3093</v>
      </c>
    </row>
    <row r="1159" spans="1:10" x14ac:dyDescent="0.25">
      <c r="A1159" s="321" t="s">
        <v>2952</v>
      </c>
      <c r="B1159" s="323" t="s">
        <v>0</v>
      </c>
      <c r="C1159" s="335" t="s">
        <v>238</v>
      </c>
      <c r="D1159" s="392" t="s">
        <v>2826</v>
      </c>
      <c r="E1159" s="387">
        <v>350822</v>
      </c>
      <c r="F1159" s="594" t="s">
        <v>3213</v>
      </c>
      <c r="G1159" s="578">
        <v>178.03</v>
      </c>
      <c r="H1159" s="588">
        <v>3218833</v>
      </c>
      <c r="I1159" s="588"/>
      <c r="J1159" s="323" t="s">
        <v>3099</v>
      </c>
    </row>
    <row r="1160" spans="1:10" x14ac:dyDescent="0.25">
      <c r="A1160" s="321" t="s">
        <v>2952</v>
      </c>
      <c r="B1160" s="323" t="s">
        <v>0</v>
      </c>
      <c r="C1160" s="335" t="s">
        <v>238</v>
      </c>
      <c r="D1160" s="392" t="s">
        <v>2994</v>
      </c>
      <c r="E1160" s="387">
        <v>350171</v>
      </c>
      <c r="F1160" s="594" t="s">
        <v>3144</v>
      </c>
      <c r="G1160" s="578">
        <v>49.95</v>
      </c>
      <c r="H1160" s="588">
        <v>3218838</v>
      </c>
      <c r="I1160" s="588"/>
      <c r="J1160" s="323" t="s">
        <v>3002</v>
      </c>
    </row>
    <row r="1161" spans="1:10" x14ac:dyDescent="0.25">
      <c r="A1161" s="321" t="s">
        <v>2952</v>
      </c>
      <c r="B1161" s="323" t="s">
        <v>0</v>
      </c>
      <c r="C1161" s="335" t="s">
        <v>238</v>
      </c>
      <c r="D1161" s="392" t="s">
        <v>3066</v>
      </c>
      <c r="E1161" s="387">
        <v>352331</v>
      </c>
      <c r="F1161" s="594" t="s">
        <v>3190</v>
      </c>
      <c r="G1161" s="578">
        <v>65.36</v>
      </c>
      <c r="H1161" s="588">
        <v>3218926</v>
      </c>
      <c r="I1161" s="588"/>
      <c r="J1161" s="323" t="s">
        <v>3070</v>
      </c>
    </row>
    <row r="1162" spans="1:10" x14ac:dyDescent="0.25">
      <c r="A1162" s="321" t="s">
        <v>2952</v>
      </c>
      <c r="B1162" s="323" t="s">
        <v>0</v>
      </c>
      <c r="C1162" s="335" t="s">
        <v>238</v>
      </c>
      <c r="D1162" s="392" t="s">
        <v>2450</v>
      </c>
      <c r="E1162" s="387">
        <v>224428</v>
      </c>
      <c r="F1162" s="594" t="s">
        <v>3121</v>
      </c>
      <c r="G1162" s="578">
        <v>26.73</v>
      </c>
      <c r="H1162" s="588">
        <v>3219560</v>
      </c>
      <c r="I1162" s="588"/>
      <c r="J1162" s="323" t="s">
        <v>2967</v>
      </c>
    </row>
    <row r="1163" spans="1:10" x14ac:dyDescent="0.25">
      <c r="A1163" s="321" t="s">
        <v>2952</v>
      </c>
      <c r="B1163" s="323" t="s">
        <v>0</v>
      </c>
      <c r="C1163" s="335" t="s">
        <v>238</v>
      </c>
      <c r="D1163" s="392" t="s">
        <v>212</v>
      </c>
      <c r="E1163" s="387">
        <v>350843</v>
      </c>
      <c r="F1163" s="594" t="s">
        <v>3201</v>
      </c>
      <c r="G1163" s="578">
        <v>186.25</v>
      </c>
      <c r="H1163" s="588">
        <v>3220060</v>
      </c>
      <c r="I1163" s="588"/>
      <c r="J1163" s="323" t="s">
        <v>3084</v>
      </c>
    </row>
    <row r="1164" spans="1:10" x14ac:dyDescent="0.25">
      <c r="A1164" s="321" t="s">
        <v>2952</v>
      </c>
      <c r="B1164" s="323" t="s">
        <v>0</v>
      </c>
      <c r="C1164" s="335" t="s">
        <v>238</v>
      </c>
      <c r="D1164" s="392" t="s">
        <v>183</v>
      </c>
      <c r="E1164" s="387">
        <v>220501</v>
      </c>
      <c r="F1164" s="594" t="s">
        <v>3138</v>
      </c>
      <c r="G1164" s="578">
        <v>46.71</v>
      </c>
      <c r="H1164" s="588">
        <v>3220815</v>
      </c>
      <c r="I1164" s="588"/>
      <c r="J1164" s="323" t="s">
        <v>2992</v>
      </c>
    </row>
    <row r="1165" spans="1:10" x14ac:dyDescent="0.25">
      <c r="A1165" s="321" t="s">
        <v>2952</v>
      </c>
      <c r="B1165" s="323" t="s">
        <v>0</v>
      </c>
      <c r="C1165" s="335" t="s">
        <v>238</v>
      </c>
      <c r="D1165" s="392" t="s">
        <v>1980</v>
      </c>
      <c r="E1165" s="387">
        <v>352781</v>
      </c>
      <c r="F1165" s="594" t="s">
        <v>3155</v>
      </c>
      <c r="G1165" s="578">
        <v>64.95</v>
      </c>
      <c r="H1165" s="588">
        <v>3221140</v>
      </c>
      <c r="I1165" s="588"/>
      <c r="J1165" s="323" t="s">
        <v>3019</v>
      </c>
    </row>
    <row r="1166" spans="1:10" x14ac:dyDescent="0.25">
      <c r="A1166" s="321" t="s">
        <v>2952</v>
      </c>
      <c r="B1166" s="323" t="s">
        <v>0</v>
      </c>
      <c r="C1166" s="335" t="s">
        <v>238</v>
      </c>
      <c r="D1166" s="392" t="s">
        <v>3014</v>
      </c>
      <c r="E1166" s="387">
        <v>215826</v>
      </c>
      <c r="F1166" s="594" t="s">
        <v>3148</v>
      </c>
      <c r="G1166" s="578">
        <v>55.21</v>
      </c>
      <c r="H1166" s="588">
        <v>3221168</v>
      </c>
      <c r="I1166" s="588"/>
      <c r="J1166" s="323" t="s">
        <v>3007</v>
      </c>
    </row>
    <row r="1167" spans="1:10" x14ac:dyDescent="0.25">
      <c r="A1167" s="321" t="s">
        <v>2952</v>
      </c>
      <c r="B1167" s="323" t="s">
        <v>0</v>
      </c>
      <c r="C1167" s="335" t="s">
        <v>238</v>
      </c>
      <c r="D1167" s="392" t="s">
        <v>1225</v>
      </c>
      <c r="E1167" s="387">
        <v>351219</v>
      </c>
      <c r="F1167" s="594" t="s">
        <v>3134</v>
      </c>
      <c r="G1167" s="578">
        <v>44.91</v>
      </c>
      <c r="H1167" s="588">
        <v>3221435</v>
      </c>
      <c r="I1167" s="588"/>
      <c r="J1167" s="323" t="s">
        <v>2986</v>
      </c>
    </row>
    <row r="1168" spans="1:10" x14ac:dyDescent="0.25">
      <c r="A1168" s="321" t="s">
        <v>2952</v>
      </c>
      <c r="B1168" s="323" t="s">
        <v>0</v>
      </c>
      <c r="C1168" s="335" t="s">
        <v>238</v>
      </c>
      <c r="D1168" s="392" t="s">
        <v>2978</v>
      </c>
      <c r="E1168" s="387">
        <v>219815</v>
      </c>
      <c r="F1168" s="594" t="s">
        <v>3130</v>
      </c>
      <c r="G1168" s="578">
        <v>42.46</v>
      </c>
      <c r="H1168" s="588">
        <v>3221682</v>
      </c>
      <c r="I1168" s="588"/>
      <c r="J1168" s="323" t="s">
        <v>2982</v>
      </c>
    </row>
    <row r="1169" spans="1:10" x14ac:dyDescent="0.25">
      <c r="A1169" s="321" t="s">
        <v>2952</v>
      </c>
      <c r="B1169" s="323" t="s">
        <v>0</v>
      </c>
      <c r="C1169" s="335" t="s">
        <v>238</v>
      </c>
      <c r="D1169" s="392" t="s">
        <v>2230</v>
      </c>
      <c r="E1169" s="387">
        <v>350400</v>
      </c>
      <c r="F1169" s="594" t="s">
        <v>3208</v>
      </c>
      <c r="G1169" s="578">
        <v>236.99</v>
      </c>
      <c r="H1169" s="588">
        <v>3221727</v>
      </c>
      <c r="I1169" s="588"/>
      <c r="J1169" s="323" t="s">
        <v>3090</v>
      </c>
    </row>
    <row r="1170" spans="1:10" x14ac:dyDescent="0.25">
      <c r="A1170" s="321" t="s">
        <v>2952</v>
      </c>
      <c r="B1170" s="323" t="s">
        <v>0</v>
      </c>
      <c r="C1170" s="335" t="s">
        <v>238</v>
      </c>
      <c r="D1170" s="392" t="s">
        <v>3072</v>
      </c>
      <c r="E1170" s="387">
        <v>352487</v>
      </c>
      <c r="F1170" s="594" t="s">
        <v>3195</v>
      </c>
      <c r="G1170" s="578">
        <v>161.01</v>
      </c>
      <c r="H1170" s="588">
        <v>3222563</v>
      </c>
      <c r="I1170" s="588"/>
      <c r="J1170" s="323" t="s">
        <v>3079</v>
      </c>
    </row>
    <row r="1171" spans="1:10" x14ac:dyDescent="0.25">
      <c r="A1171" s="321" t="s">
        <v>2952</v>
      </c>
      <c r="B1171" s="323" t="s">
        <v>0</v>
      </c>
      <c r="C1171" s="323" t="s">
        <v>238</v>
      </c>
      <c r="D1171" s="392" t="s">
        <v>2883</v>
      </c>
      <c r="E1171" s="387">
        <v>351134</v>
      </c>
      <c r="F1171" s="594" t="s">
        <v>3156</v>
      </c>
      <c r="G1171" s="578">
        <v>64.95</v>
      </c>
      <c r="H1171" s="588">
        <v>3222839</v>
      </c>
      <c r="I1171" s="588"/>
      <c r="J1171" s="323" t="s">
        <v>3020</v>
      </c>
    </row>
    <row r="1172" spans="1:10" x14ac:dyDescent="0.25">
      <c r="A1172" s="321" t="s">
        <v>2952</v>
      </c>
      <c r="B1172" s="323" t="s">
        <v>0</v>
      </c>
      <c r="C1172" s="323" t="s">
        <v>238</v>
      </c>
      <c r="D1172" s="392" t="s">
        <v>3066</v>
      </c>
      <c r="E1172" s="387">
        <v>352331</v>
      </c>
      <c r="F1172" s="594" t="s">
        <v>3189</v>
      </c>
      <c r="G1172" s="578">
        <f>73.8</f>
        <v>73.8</v>
      </c>
      <c r="H1172" s="588">
        <v>3223569</v>
      </c>
      <c r="I1172" s="588"/>
      <c r="J1172" s="323" t="s">
        <v>3070</v>
      </c>
    </row>
    <row r="1173" spans="1:10" x14ac:dyDescent="0.25">
      <c r="A1173" s="321" t="s">
        <v>2952</v>
      </c>
      <c r="B1173" s="323" t="s">
        <v>0</v>
      </c>
      <c r="C1173" s="323" t="s">
        <v>238</v>
      </c>
      <c r="D1173" s="392" t="s">
        <v>3092</v>
      </c>
      <c r="E1173" s="387">
        <v>223563</v>
      </c>
      <c r="F1173" s="594" t="s">
        <v>3207</v>
      </c>
      <c r="G1173" s="578">
        <v>125.95</v>
      </c>
      <c r="H1173" s="588">
        <v>3224247</v>
      </c>
      <c r="I1173" s="588"/>
      <c r="J1173" s="323" t="s">
        <v>3089</v>
      </c>
    </row>
    <row r="1174" spans="1:10" x14ac:dyDescent="0.25">
      <c r="A1174" s="321" t="s">
        <v>2952</v>
      </c>
      <c r="B1174" s="323" t="s">
        <v>0</v>
      </c>
      <c r="C1174" s="323" t="s">
        <v>238</v>
      </c>
      <c r="D1174" s="392" t="s">
        <v>2385</v>
      </c>
      <c r="E1174" s="387">
        <v>350335</v>
      </c>
      <c r="F1174" s="594" t="s">
        <v>3132</v>
      </c>
      <c r="G1174" s="578">
        <v>43.66</v>
      </c>
      <c r="H1174" s="588">
        <v>3224359</v>
      </c>
      <c r="I1174" s="588"/>
      <c r="J1174" s="323" t="s">
        <v>2984</v>
      </c>
    </row>
    <row r="1175" spans="1:10" x14ac:dyDescent="0.25">
      <c r="A1175" s="321" t="s">
        <v>2952</v>
      </c>
      <c r="B1175" s="323" t="s">
        <v>0</v>
      </c>
      <c r="C1175" s="323" t="s">
        <v>238</v>
      </c>
      <c r="D1175" s="392" t="s">
        <v>3104</v>
      </c>
      <c r="E1175" s="387">
        <v>352924</v>
      </c>
      <c r="F1175" s="594" t="s">
        <v>3215</v>
      </c>
      <c r="G1175" s="578">
        <v>80.95</v>
      </c>
      <c r="H1175" s="588">
        <v>3224390</v>
      </c>
      <c r="I1175" s="588"/>
      <c r="J1175" s="323" t="s">
        <v>3105</v>
      </c>
    </row>
    <row r="1176" spans="1:10" x14ac:dyDescent="0.25">
      <c r="A1176" s="321" t="s">
        <v>2952</v>
      </c>
      <c r="B1176" s="323" t="s">
        <v>0</v>
      </c>
      <c r="C1176" s="323" t="s">
        <v>238</v>
      </c>
      <c r="D1176" s="392" t="s">
        <v>3076</v>
      </c>
      <c r="E1176" s="387">
        <v>351401</v>
      </c>
      <c r="F1176" s="594" t="s">
        <v>3200</v>
      </c>
      <c r="G1176" s="578">
        <v>182.65</v>
      </c>
      <c r="H1176" s="588">
        <v>3225060</v>
      </c>
      <c r="I1176" s="588"/>
      <c r="J1176" s="323" t="s">
        <v>3083</v>
      </c>
    </row>
    <row r="1177" spans="1:10" x14ac:dyDescent="0.25">
      <c r="A1177" s="321" t="s">
        <v>2952</v>
      </c>
      <c r="B1177" s="323" t="s">
        <v>0</v>
      </c>
      <c r="C1177" s="323" t="s">
        <v>238</v>
      </c>
      <c r="D1177" s="392" t="s">
        <v>3073</v>
      </c>
      <c r="E1177" s="387">
        <v>351452</v>
      </c>
      <c r="F1177" s="594" t="s">
        <v>3196</v>
      </c>
      <c r="G1177" s="578">
        <f>95.16</f>
        <v>95.16</v>
      </c>
      <c r="H1177" s="588">
        <v>3225507</v>
      </c>
      <c r="I1177" s="588"/>
      <c r="J1177" s="323" t="s">
        <v>3080</v>
      </c>
    </row>
    <row r="1178" spans="1:10" x14ac:dyDescent="0.25">
      <c r="A1178" s="321" t="s">
        <v>2952</v>
      </c>
      <c r="B1178" s="323" t="s">
        <v>0</v>
      </c>
      <c r="C1178" s="323" t="s">
        <v>238</v>
      </c>
      <c r="D1178" s="392" t="s">
        <v>1366</v>
      </c>
      <c r="E1178" s="387">
        <v>201238</v>
      </c>
      <c r="F1178" s="594" t="s">
        <v>3142</v>
      </c>
      <c r="G1178" s="578">
        <v>49.56</v>
      </c>
      <c r="H1178" s="588">
        <v>3225983</v>
      </c>
      <c r="I1178" s="588"/>
      <c r="J1178" s="323" t="s">
        <v>3000</v>
      </c>
    </row>
    <row r="1179" spans="1:10" x14ac:dyDescent="0.25">
      <c r="A1179" s="321" t="s">
        <v>2952</v>
      </c>
      <c r="B1179" s="323" t="s">
        <v>0</v>
      </c>
      <c r="C1179" s="323" t="s">
        <v>238</v>
      </c>
      <c r="D1179" s="392" t="s">
        <v>3073</v>
      </c>
      <c r="E1179" s="387">
        <v>351452</v>
      </c>
      <c r="F1179" s="594" t="s">
        <v>3197</v>
      </c>
      <c r="G1179" s="578">
        <v>68.760000000000005</v>
      </c>
      <c r="H1179" s="588">
        <v>3226595</v>
      </c>
      <c r="I1179" s="588"/>
      <c r="J1179" s="323" t="s">
        <v>3080</v>
      </c>
    </row>
    <row r="1180" spans="1:10" x14ac:dyDescent="0.25">
      <c r="A1180" s="321" t="s">
        <v>2952</v>
      </c>
      <c r="B1180" s="323" t="s">
        <v>0</v>
      </c>
      <c r="C1180" s="323" t="s">
        <v>238</v>
      </c>
      <c r="D1180" s="392" t="s">
        <v>2486</v>
      </c>
      <c r="E1180" s="387">
        <v>352800</v>
      </c>
      <c r="F1180" s="594" t="s">
        <v>3179</v>
      </c>
      <c r="G1180" s="578">
        <v>104.95</v>
      </c>
      <c r="H1180" s="588">
        <v>3226722</v>
      </c>
      <c r="I1180" s="588"/>
      <c r="J1180" s="323" t="s">
        <v>3053</v>
      </c>
    </row>
    <row r="1181" spans="1:10" x14ac:dyDescent="0.25">
      <c r="A1181" s="321" t="s">
        <v>2952</v>
      </c>
      <c r="B1181" s="323" t="s">
        <v>0</v>
      </c>
      <c r="C1181" s="323" t="s">
        <v>238</v>
      </c>
      <c r="D1181" s="392" t="s">
        <v>3057</v>
      </c>
      <c r="E1181" s="387">
        <v>351494</v>
      </c>
      <c r="F1181" s="594" t="s">
        <v>3183</v>
      </c>
      <c r="G1181" s="578">
        <v>116.39</v>
      </c>
      <c r="H1181" s="588">
        <v>3227074</v>
      </c>
      <c r="I1181" s="588"/>
      <c r="J1181" s="323" t="s">
        <v>3060</v>
      </c>
    </row>
    <row r="1182" spans="1:10" x14ac:dyDescent="0.25">
      <c r="A1182" s="321" t="s">
        <v>2952</v>
      </c>
      <c r="B1182" s="323" t="s">
        <v>0</v>
      </c>
      <c r="C1182" s="323" t="s">
        <v>238</v>
      </c>
      <c r="D1182" s="392" t="s">
        <v>3018</v>
      </c>
      <c r="E1182" s="387">
        <v>212312</v>
      </c>
      <c r="F1182" s="594" t="s">
        <v>3157</v>
      </c>
      <c r="G1182" s="578">
        <v>65.36</v>
      </c>
      <c r="H1182" s="588">
        <v>3227123</v>
      </c>
      <c r="I1182" s="588"/>
      <c r="J1182" s="323" t="s">
        <v>3021</v>
      </c>
    </row>
    <row r="1183" spans="1:10" x14ac:dyDescent="0.25">
      <c r="A1183" s="321" t="s">
        <v>2952</v>
      </c>
      <c r="B1183" s="323" t="s">
        <v>0</v>
      </c>
      <c r="C1183" s="323" t="s">
        <v>238</v>
      </c>
      <c r="D1183" s="392" t="s">
        <v>2996</v>
      </c>
      <c r="E1183" s="387">
        <v>351086</v>
      </c>
      <c r="F1183" s="594" t="s">
        <v>3146</v>
      </c>
      <c r="G1183" s="578">
        <v>51.97</v>
      </c>
      <c r="H1183" s="588">
        <v>3227327</v>
      </c>
      <c r="I1183" s="588"/>
      <c r="J1183" s="323" t="s">
        <v>3004</v>
      </c>
    </row>
    <row r="1184" spans="1:10" x14ac:dyDescent="0.25">
      <c r="A1184" s="321" t="s">
        <v>2952</v>
      </c>
      <c r="B1184" s="323" t="s">
        <v>0</v>
      </c>
      <c r="C1184" s="323" t="s">
        <v>238</v>
      </c>
      <c r="D1184" s="392" t="s">
        <v>96</v>
      </c>
      <c r="E1184" s="387">
        <v>350361</v>
      </c>
      <c r="F1184" s="594" t="s">
        <v>3149</v>
      </c>
      <c r="G1184" s="578">
        <v>55.86</v>
      </c>
      <c r="H1184" s="588">
        <v>3227634</v>
      </c>
      <c r="I1184" s="588"/>
      <c r="J1184" s="323" t="s">
        <v>3008</v>
      </c>
    </row>
    <row r="1185" spans="1:10" x14ac:dyDescent="0.25">
      <c r="A1185" s="321" t="s">
        <v>2952</v>
      </c>
      <c r="B1185" s="323" t="s">
        <v>0</v>
      </c>
      <c r="C1185" s="323" t="s">
        <v>238</v>
      </c>
      <c r="D1185" s="392" t="s">
        <v>3037</v>
      </c>
      <c r="E1185" s="387">
        <v>220738</v>
      </c>
      <c r="F1185" s="594" t="s">
        <v>3172</v>
      </c>
      <c r="G1185" s="578">
        <v>98.2</v>
      </c>
      <c r="H1185" s="588">
        <v>3228126</v>
      </c>
      <c r="I1185" s="588"/>
      <c r="J1185" s="323" t="s">
        <v>3046</v>
      </c>
    </row>
    <row r="1186" spans="1:10" x14ac:dyDescent="0.25">
      <c r="A1186" s="321" t="s">
        <v>2952</v>
      </c>
      <c r="B1186" s="323" t="s">
        <v>0</v>
      </c>
      <c r="C1186" s="323" t="s">
        <v>238</v>
      </c>
      <c r="D1186" s="392" t="s">
        <v>2213</v>
      </c>
      <c r="E1186" s="387">
        <v>351103</v>
      </c>
      <c r="F1186" s="594" t="s">
        <v>3118</v>
      </c>
      <c r="G1186" s="578">
        <v>23.05</v>
      </c>
      <c r="H1186" s="588">
        <v>3228471</v>
      </c>
      <c r="I1186" s="588"/>
      <c r="J1186" s="323" t="s">
        <v>2963</v>
      </c>
    </row>
    <row r="1187" spans="1:10" x14ac:dyDescent="0.25">
      <c r="A1187" s="321" t="s">
        <v>2952</v>
      </c>
      <c r="B1187" s="323" t="s">
        <v>0</v>
      </c>
      <c r="C1187" s="323" t="s">
        <v>238</v>
      </c>
      <c r="D1187" s="392" t="s">
        <v>2276</v>
      </c>
      <c r="E1187" s="387">
        <v>352528</v>
      </c>
      <c r="F1187" s="594" t="s">
        <v>3152</v>
      </c>
      <c r="G1187" s="578">
        <v>61.25</v>
      </c>
      <c r="H1187" s="588">
        <v>3229108</v>
      </c>
      <c r="I1187" s="588"/>
      <c r="J1187" s="323" t="s">
        <v>3011</v>
      </c>
    </row>
    <row r="1188" spans="1:10" x14ac:dyDescent="0.25">
      <c r="A1188" s="321" t="s">
        <v>2952</v>
      </c>
      <c r="B1188" s="323" t="s">
        <v>0</v>
      </c>
      <c r="C1188" s="323" t="s">
        <v>238</v>
      </c>
      <c r="D1188" s="392" t="s">
        <v>2644</v>
      </c>
      <c r="E1188" s="387">
        <v>352459</v>
      </c>
      <c r="F1188" s="594" t="s">
        <v>3151</v>
      </c>
      <c r="G1188" s="578">
        <v>59.05</v>
      </c>
      <c r="H1188" s="588">
        <v>3229200</v>
      </c>
      <c r="I1188" s="588"/>
      <c r="J1188" s="323" t="s">
        <v>3010</v>
      </c>
    </row>
    <row r="1189" spans="1:10" x14ac:dyDescent="0.25">
      <c r="A1189" s="321" t="s">
        <v>2952</v>
      </c>
      <c r="B1189" s="323" t="s">
        <v>0</v>
      </c>
      <c r="C1189" s="323" t="s">
        <v>238</v>
      </c>
      <c r="D1189" s="392" t="s">
        <v>2384</v>
      </c>
      <c r="E1189" s="387">
        <v>350847</v>
      </c>
      <c r="F1189" s="594" t="s">
        <v>3180</v>
      </c>
      <c r="G1189" s="578">
        <v>105.84</v>
      </c>
      <c r="H1189" s="588">
        <v>3230459</v>
      </c>
      <c r="I1189" s="588"/>
      <c r="J1189" s="323" t="s">
        <v>3054</v>
      </c>
    </row>
    <row r="1190" spans="1:10" x14ac:dyDescent="0.25">
      <c r="A1190" s="321" t="s">
        <v>2952</v>
      </c>
      <c r="B1190" s="323" t="s">
        <v>0</v>
      </c>
      <c r="C1190" s="323" t="s">
        <v>238</v>
      </c>
      <c r="D1190" s="392" t="s">
        <v>2965</v>
      </c>
      <c r="E1190" s="387">
        <v>351322</v>
      </c>
      <c r="F1190" s="594" t="s">
        <v>3122</v>
      </c>
      <c r="G1190" s="578">
        <v>28.95</v>
      </c>
      <c r="H1190" s="588">
        <v>3232859</v>
      </c>
      <c r="I1190" s="588"/>
      <c r="J1190" s="323" t="s">
        <v>2968</v>
      </c>
    </row>
    <row r="1191" spans="1:10" x14ac:dyDescent="0.25">
      <c r="A1191" s="321" t="s">
        <v>2952</v>
      </c>
      <c r="B1191" s="323" t="s">
        <v>0</v>
      </c>
      <c r="C1191" s="323" t="s">
        <v>238</v>
      </c>
      <c r="D1191" s="392" t="s">
        <v>2957</v>
      </c>
      <c r="E1191" s="387">
        <v>351562</v>
      </c>
      <c r="F1191" s="594" t="s">
        <v>3114</v>
      </c>
      <c r="G1191" s="578">
        <v>17.52</v>
      </c>
      <c r="H1191" s="588">
        <v>3232920</v>
      </c>
      <c r="I1191" s="588"/>
      <c r="J1191" s="323" t="s">
        <v>2956</v>
      </c>
    </row>
    <row r="1192" spans="1:10" x14ac:dyDescent="0.25">
      <c r="A1192" s="321" t="s">
        <v>2952</v>
      </c>
      <c r="B1192" s="323" t="s">
        <v>0</v>
      </c>
      <c r="C1192" s="323" t="s">
        <v>238</v>
      </c>
      <c r="D1192" s="392" t="s">
        <v>3091</v>
      </c>
      <c r="E1192" s="387">
        <v>350401</v>
      </c>
      <c r="F1192" s="594" t="s">
        <v>3203</v>
      </c>
      <c r="G1192" s="578">
        <v>212.29</v>
      </c>
      <c r="H1192" s="588">
        <v>3233059</v>
      </c>
      <c r="I1192" s="588"/>
      <c r="J1192" s="323" t="s">
        <v>3086</v>
      </c>
    </row>
    <row r="1193" spans="1:10" x14ac:dyDescent="0.25">
      <c r="A1193" s="321" t="s">
        <v>2952</v>
      </c>
      <c r="B1193" s="323" t="s">
        <v>0</v>
      </c>
      <c r="C1193" s="323" t="s">
        <v>238</v>
      </c>
      <c r="D1193" s="392" t="s">
        <v>2813</v>
      </c>
      <c r="E1193" s="387">
        <v>352477</v>
      </c>
      <c r="F1193" s="594" t="s">
        <v>3164</v>
      </c>
      <c r="G1193" s="578">
        <v>81.56</v>
      </c>
      <c r="H1193" s="588">
        <v>3233605</v>
      </c>
      <c r="I1193" s="588"/>
      <c r="J1193" s="323" t="s">
        <v>3029</v>
      </c>
    </row>
    <row r="1194" spans="1:10" x14ac:dyDescent="0.25">
      <c r="A1194" s="321" t="s">
        <v>2952</v>
      </c>
      <c r="B1194" s="323" t="s">
        <v>0</v>
      </c>
      <c r="C1194" s="323" t="s">
        <v>238</v>
      </c>
      <c r="D1194" s="392" t="s">
        <v>2959</v>
      </c>
      <c r="E1194" s="387">
        <v>351330</v>
      </c>
      <c r="F1194" s="594" t="s">
        <v>3116</v>
      </c>
      <c r="G1194" s="578">
        <v>22.9</v>
      </c>
      <c r="H1194" s="588">
        <v>3234095</v>
      </c>
      <c r="I1194" s="588"/>
      <c r="J1194" s="323" t="s">
        <v>2961</v>
      </c>
    </row>
    <row r="1195" spans="1:10" x14ac:dyDescent="0.25">
      <c r="A1195" s="321" t="s">
        <v>2952</v>
      </c>
      <c r="B1195" s="323" t="s">
        <v>0</v>
      </c>
      <c r="C1195" s="323" t="s">
        <v>238</v>
      </c>
      <c r="D1195" s="392" t="s">
        <v>1989</v>
      </c>
      <c r="E1195" s="387">
        <v>353346</v>
      </c>
      <c r="F1195" s="594" t="s">
        <v>3214</v>
      </c>
      <c r="G1195" s="578">
        <v>117.46</v>
      </c>
      <c r="H1195" s="588">
        <v>3234800</v>
      </c>
      <c r="I1195" s="588"/>
      <c r="J1195" s="323" t="s">
        <v>3100</v>
      </c>
    </row>
    <row r="1196" spans="1:10" x14ac:dyDescent="0.25">
      <c r="A1196" s="321" t="s">
        <v>2952</v>
      </c>
      <c r="B1196" s="323" t="s">
        <v>0</v>
      </c>
      <c r="C1196" s="323" t="s">
        <v>238</v>
      </c>
      <c r="D1196" s="392" t="s">
        <v>2812</v>
      </c>
      <c r="E1196" s="387">
        <v>916</v>
      </c>
      <c r="F1196" s="594" t="s">
        <v>3120</v>
      </c>
      <c r="G1196" s="578">
        <v>26.44</v>
      </c>
      <c r="H1196" s="588">
        <v>3235541</v>
      </c>
      <c r="I1196" s="588"/>
      <c r="J1196" s="323" t="s">
        <v>2966</v>
      </c>
    </row>
    <row r="1197" spans="1:10" x14ac:dyDescent="0.25">
      <c r="A1197" s="321" t="s">
        <v>2952</v>
      </c>
      <c r="B1197" s="323" t="s">
        <v>0</v>
      </c>
      <c r="C1197" s="323" t="s">
        <v>238</v>
      </c>
      <c r="D1197" s="392" t="s">
        <v>2954</v>
      </c>
      <c r="E1197" s="387">
        <v>351901</v>
      </c>
      <c r="F1197" s="594" t="s">
        <v>3113</v>
      </c>
      <c r="G1197" s="578">
        <v>85.36</v>
      </c>
      <c r="H1197" s="588">
        <v>3236933</v>
      </c>
      <c r="I1197" s="588"/>
      <c r="J1197" s="323" t="s">
        <v>2955</v>
      </c>
    </row>
    <row r="1198" spans="1:10" x14ac:dyDescent="0.25">
      <c r="A1198" s="321" t="s">
        <v>2952</v>
      </c>
      <c r="B1198" s="323" t="s">
        <v>0</v>
      </c>
      <c r="C1198" s="323" t="s">
        <v>238</v>
      </c>
      <c r="D1198" s="392" t="s">
        <v>1781</v>
      </c>
      <c r="E1198" s="387">
        <v>891</v>
      </c>
      <c r="F1198" s="594" t="s">
        <v>3171</v>
      </c>
      <c r="G1198" s="578">
        <v>97.48</v>
      </c>
      <c r="H1198" s="588">
        <v>3237832</v>
      </c>
      <c r="I1198" s="588"/>
      <c r="J1198" s="323" t="s">
        <v>3045</v>
      </c>
    </row>
    <row r="1199" spans="1:10" x14ac:dyDescent="0.25">
      <c r="A1199" s="321" t="s">
        <v>2952</v>
      </c>
      <c r="B1199" s="323" t="s">
        <v>0</v>
      </c>
      <c r="C1199" s="323" t="s">
        <v>238</v>
      </c>
      <c r="D1199" s="392" t="s">
        <v>1361</v>
      </c>
      <c r="E1199" s="387">
        <v>223640</v>
      </c>
      <c r="F1199" s="594" t="s">
        <v>3206</v>
      </c>
      <c r="G1199" s="578">
        <v>219.03</v>
      </c>
      <c r="H1199" s="588">
        <v>3241103</v>
      </c>
      <c r="I1199" s="588"/>
      <c r="J1199" s="323" t="s">
        <v>3088</v>
      </c>
    </row>
    <row r="1200" spans="1:10" x14ac:dyDescent="0.25">
      <c r="A1200" s="321" t="s">
        <v>2952</v>
      </c>
      <c r="B1200" s="323" t="s">
        <v>0</v>
      </c>
      <c r="C1200" s="323" t="s">
        <v>238</v>
      </c>
      <c r="D1200" s="392" t="s">
        <v>3065</v>
      </c>
      <c r="E1200" s="387">
        <v>350900</v>
      </c>
      <c r="F1200" s="594" t="s">
        <v>3188</v>
      </c>
      <c r="G1200" s="578">
        <v>134.32</v>
      </c>
      <c r="H1200" s="588">
        <v>3242148</v>
      </c>
      <c r="I1200" s="588"/>
      <c r="J1200" s="323" t="s">
        <v>3069</v>
      </c>
    </row>
    <row r="1201" spans="1:10" x14ac:dyDescent="0.25">
      <c r="A1201" s="321" t="s">
        <v>2952</v>
      </c>
      <c r="B1201" s="323" t="s">
        <v>0</v>
      </c>
      <c r="C1201" s="323" t="s">
        <v>238</v>
      </c>
      <c r="D1201" s="392" t="s">
        <v>2210</v>
      </c>
      <c r="E1201" s="387">
        <v>351344</v>
      </c>
      <c r="F1201" s="594" t="s">
        <v>3185</v>
      </c>
      <c r="G1201" s="578">
        <v>118.95</v>
      </c>
      <c r="H1201" s="588">
        <v>3244054</v>
      </c>
      <c r="I1201" s="588"/>
      <c r="J1201" s="323" t="s">
        <v>3062</v>
      </c>
    </row>
    <row r="1202" spans="1:10" x14ac:dyDescent="0.25">
      <c r="A1202" s="321" t="s">
        <v>2952</v>
      </c>
      <c r="B1202" s="323" t="s">
        <v>0</v>
      </c>
      <c r="C1202" s="323" t="s">
        <v>238</v>
      </c>
      <c r="D1202" s="392" t="s">
        <v>2151</v>
      </c>
      <c r="E1202" s="387">
        <v>213229</v>
      </c>
      <c r="F1202" s="594" t="s">
        <v>3193</v>
      </c>
      <c r="G1202" s="578">
        <f>86.82</f>
        <v>86.82</v>
      </c>
      <c r="H1202" s="588">
        <v>3244753</v>
      </c>
      <c r="I1202" s="588"/>
      <c r="J1202" s="323" t="s">
        <v>3078</v>
      </c>
    </row>
    <row r="1203" spans="1:10" x14ac:dyDescent="0.25">
      <c r="A1203" s="321" t="s">
        <v>2952</v>
      </c>
      <c r="B1203" s="323" t="s">
        <v>0</v>
      </c>
      <c r="C1203" s="323" t="s">
        <v>238</v>
      </c>
      <c r="D1203" s="392" t="s">
        <v>2691</v>
      </c>
      <c r="E1203" s="387">
        <v>351836</v>
      </c>
      <c r="F1203" s="594" t="s">
        <v>3192</v>
      </c>
      <c r="G1203" s="578">
        <v>147.82</v>
      </c>
      <c r="H1203" s="588">
        <v>3244924</v>
      </c>
      <c r="I1203" s="588"/>
      <c r="J1203" s="323" t="s">
        <v>3077</v>
      </c>
    </row>
    <row r="1204" spans="1:10" x14ac:dyDescent="0.25">
      <c r="A1204" s="321" t="s">
        <v>2952</v>
      </c>
      <c r="B1204" s="323" t="s">
        <v>0</v>
      </c>
      <c r="C1204" s="323" t="s">
        <v>238</v>
      </c>
      <c r="D1204" s="392" t="s">
        <v>2114</v>
      </c>
      <c r="E1204" s="387">
        <v>215864</v>
      </c>
      <c r="F1204" s="594" t="s">
        <v>3159</v>
      </c>
      <c r="G1204" s="578">
        <v>75.900000000000006</v>
      </c>
      <c r="H1204" s="588">
        <v>3245443</v>
      </c>
      <c r="I1204" s="588"/>
      <c r="J1204" s="323" t="s">
        <v>3022</v>
      </c>
    </row>
    <row r="1205" spans="1:10" x14ac:dyDescent="0.25">
      <c r="A1205" s="321" t="s">
        <v>2952</v>
      </c>
      <c r="B1205" s="323" t="s">
        <v>0</v>
      </c>
      <c r="C1205" s="323" t="s">
        <v>238</v>
      </c>
      <c r="D1205" s="392" t="s">
        <v>2168</v>
      </c>
      <c r="E1205" s="387">
        <v>211552</v>
      </c>
      <c r="F1205" s="594" t="s">
        <v>3186</v>
      </c>
      <c r="G1205" s="578">
        <v>126.88</v>
      </c>
      <c r="H1205" s="588">
        <v>3245899</v>
      </c>
      <c r="I1205" s="588"/>
      <c r="J1205" s="323" t="s">
        <v>3063</v>
      </c>
    </row>
    <row r="1206" spans="1:10" x14ac:dyDescent="0.25">
      <c r="A1206" s="321" t="s">
        <v>2952</v>
      </c>
      <c r="B1206" s="323" t="s">
        <v>0</v>
      </c>
      <c r="C1206" s="323" t="s">
        <v>238</v>
      </c>
      <c r="D1206" s="392" t="s">
        <v>2977</v>
      </c>
      <c r="E1206" s="387">
        <v>351823</v>
      </c>
      <c r="F1206" s="594" t="s">
        <v>3129</v>
      </c>
      <c r="G1206" s="578">
        <v>41.9</v>
      </c>
      <c r="H1206" s="532">
        <v>3246735</v>
      </c>
      <c r="I1206" s="588"/>
      <c r="J1206" s="323" t="s">
        <v>2981</v>
      </c>
    </row>
    <row r="1207" spans="1:10" x14ac:dyDescent="0.25">
      <c r="A1207" s="321" t="s">
        <v>2952</v>
      </c>
      <c r="B1207" s="323" t="s">
        <v>0</v>
      </c>
      <c r="C1207" s="323" t="s">
        <v>238</v>
      </c>
      <c r="D1207" s="392" t="s">
        <v>3098</v>
      </c>
      <c r="E1207" s="387">
        <v>353048</v>
      </c>
      <c r="F1207" s="532"/>
      <c r="G1207" s="578">
        <v>146.31</v>
      </c>
      <c r="H1207" s="532"/>
      <c r="I1207" s="588"/>
      <c r="J1207" s="323" t="s">
        <v>2374</v>
      </c>
    </row>
    <row r="1208" spans="1:10" x14ac:dyDescent="0.25">
      <c r="A1208" s="321" t="s">
        <v>2952</v>
      </c>
      <c r="B1208" s="323" t="s">
        <v>0</v>
      </c>
      <c r="C1208" s="323" t="s">
        <v>238</v>
      </c>
      <c r="D1208" s="392" t="s">
        <v>3101</v>
      </c>
      <c r="E1208" s="387">
        <v>352427</v>
      </c>
      <c r="F1208" s="532"/>
      <c r="G1208" s="578">
        <v>112.95</v>
      </c>
      <c r="H1208" s="532"/>
      <c r="J1208" s="323" t="s">
        <v>2374</v>
      </c>
    </row>
    <row r="1209" spans="1:10" x14ac:dyDescent="0.25">
      <c r="A1209" s="321" t="s">
        <v>2952</v>
      </c>
      <c r="B1209" s="323" t="s">
        <v>0</v>
      </c>
      <c r="C1209" s="323" t="s">
        <v>238</v>
      </c>
      <c r="D1209" s="392" t="s">
        <v>3102</v>
      </c>
      <c r="E1209" s="387">
        <v>353301</v>
      </c>
      <c r="F1209" s="532"/>
      <c r="G1209" s="578">
        <v>91.75</v>
      </c>
      <c r="H1209" s="532"/>
      <c r="J1209" s="323" t="s">
        <v>2374</v>
      </c>
    </row>
    <row r="1210" spans="1:10" x14ac:dyDescent="0.25">
      <c r="A1210" s="321" t="s">
        <v>2952</v>
      </c>
      <c r="B1210" s="323" t="s">
        <v>0</v>
      </c>
      <c r="C1210" s="323" t="s">
        <v>238</v>
      </c>
      <c r="D1210" s="392" t="s">
        <v>3103</v>
      </c>
      <c r="E1210" s="387">
        <v>352930</v>
      </c>
      <c r="F1210" s="532"/>
      <c r="G1210" s="578">
        <v>94.51</v>
      </c>
      <c r="H1210" s="532"/>
      <c r="J1210" s="323" t="s">
        <v>2374</v>
      </c>
    </row>
    <row r="1211" spans="1:10" x14ac:dyDescent="0.25">
      <c r="A1211" s="321">
        <v>42891.085497685184</v>
      </c>
      <c r="B1211" s="323" t="s">
        <v>127</v>
      </c>
      <c r="D1211" s="392" t="s">
        <v>181</v>
      </c>
      <c r="E1211" s="387">
        <v>351215</v>
      </c>
      <c r="G1211" s="578">
        <v>236</v>
      </c>
      <c r="H1211" s="532">
        <v>3205651</v>
      </c>
      <c r="J1211" s="323" t="s">
        <v>2573</v>
      </c>
    </row>
    <row r="1212" spans="1:10" x14ac:dyDescent="0.25">
      <c r="A1212" s="321">
        <v>42891.11482638889</v>
      </c>
      <c r="B1212" s="323" t="s">
        <v>127</v>
      </c>
      <c r="D1212" s="392" t="s">
        <v>181</v>
      </c>
      <c r="E1212" s="387">
        <v>351215</v>
      </c>
      <c r="G1212" s="578">
        <v>131.44</v>
      </c>
      <c r="H1212" s="532">
        <v>3200838</v>
      </c>
      <c r="J1212" s="323" t="s">
        <v>2573</v>
      </c>
    </row>
    <row r="1213" spans="1:10" x14ac:dyDescent="0.25">
      <c r="A1213" s="321">
        <v>42892.218472222223</v>
      </c>
      <c r="B1213" s="323" t="s">
        <v>127</v>
      </c>
      <c r="D1213" s="392" t="s">
        <v>181</v>
      </c>
      <c r="E1213" s="387">
        <v>351215</v>
      </c>
      <c r="G1213" s="578">
        <v>171</v>
      </c>
      <c r="H1213" s="532">
        <v>3212547</v>
      </c>
      <c r="J1213" s="323" t="s">
        <v>2573</v>
      </c>
    </row>
    <row r="1214" spans="1:10" x14ac:dyDescent="0.25">
      <c r="A1214" s="321">
        <v>42892.374259259261</v>
      </c>
      <c r="B1214" s="323" t="s">
        <v>127</v>
      </c>
      <c r="D1214" s="392" t="s">
        <v>181</v>
      </c>
      <c r="E1214" s="387">
        <v>351215</v>
      </c>
      <c r="G1214" s="578">
        <v>94</v>
      </c>
      <c r="H1214" s="532">
        <v>3206780</v>
      </c>
      <c r="J1214" s="323" t="s">
        <v>2573</v>
      </c>
    </row>
    <row r="1215" spans="1:10" x14ac:dyDescent="0.25">
      <c r="A1215" s="321">
        <v>42893.407175925924</v>
      </c>
      <c r="B1215" s="323" t="s">
        <v>127</v>
      </c>
      <c r="D1215" s="392" t="s">
        <v>181</v>
      </c>
      <c r="E1215" s="387">
        <v>351215</v>
      </c>
      <c r="G1215" s="578">
        <v>122</v>
      </c>
      <c r="H1215" s="532">
        <v>3220791</v>
      </c>
      <c r="J1215" s="323" t="s">
        <v>2573</v>
      </c>
    </row>
    <row r="1216" spans="1:10" x14ac:dyDescent="0.25">
      <c r="A1216" s="321">
        <v>42891</v>
      </c>
      <c r="B1216" s="323" t="s">
        <v>127</v>
      </c>
      <c r="C1216" s="323" t="s">
        <v>3416</v>
      </c>
      <c r="D1216" s="392" t="s">
        <v>2574</v>
      </c>
      <c r="E1216" s="387">
        <v>352823</v>
      </c>
      <c r="G1216" s="578">
        <f>13.89+18.01</f>
        <v>31.900000000000002</v>
      </c>
      <c r="H1216" s="532">
        <v>3210844</v>
      </c>
      <c r="J1216" s="323" t="s">
        <v>2682</v>
      </c>
    </row>
    <row r="1217" spans="1:10" x14ac:dyDescent="0.25">
      <c r="A1217" s="321">
        <v>42895</v>
      </c>
      <c r="B1217" s="323" t="s">
        <v>127</v>
      </c>
      <c r="C1217" s="323" t="s">
        <v>3416</v>
      </c>
      <c r="D1217" s="392" t="s">
        <v>2574</v>
      </c>
      <c r="E1217" s="387">
        <v>352823</v>
      </c>
      <c r="G1217" s="578">
        <f>47.1+156</f>
        <v>203.1</v>
      </c>
      <c r="H1217" s="532">
        <v>3213467</v>
      </c>
      <c r="J1217" s="323" t="s">
        <v>2682</v>
      </c>
    </row>
    <row r="1218" spans="1:10" x14ac:dyDescent="0.25">
      <c r="A1218" s="321">
        <v>42895</v>
      </c>
      <c r="B1218" s="323" t="s">
        <v>127</v>
      </c>
      <c r="C1218" s="323" t="s">
        <v>3416</v>
      </c>
      <c r="D1218" s="392" t="s">
        <v>2574</v>
      </c>
      <c r="E1218" s="387">
        <v>352823</v>
      </c>
      <c r="G1218" s="578">
        <f>44.31+68.52</f>
        <v>112.83</v>
      </c>
      <c r="H1218" s="532">
        <v>3231394</v>
      </c>
      <c r="J1218" s="323" t="s">
        <v>2682</v>
      </c>
    </row>
    <row r="1219" spans="1:10" x14ac:dyDescent="0.25">
      <c r="A1219" s="321">
        <v>42892</v>
      </c>
      <c r="B1219" s="323" t="s">
        <v>127</v>
      </c>
      <c r="C1219" s="323" t="s">
        <v>3416</v>
      </c>
      <c r="D1219" s="392" t="s">
        <v>2574</v>
      </c>
      <c r="E1219" s="387">
        <v>352823</v>
      </c>
      <c r="G1219" s="578">
        <f>9.69+58.11</f>
        <v>67.8</v>
      </c>
      <c r="H1219" s="532">
        <v>3223465</v>
      </c>
      <c r="J1219" s="323" t="s">
        <v>2682</v>
      </c>
    </row>
    <row r="1220" spans="1:10" x14ac:dyDescent="0.25">
      <c r="A1220" s="321">
        <v>42891</v>
      </c>
      <c r="B1220" s="323" t="s">
        <v>127</v>
      </c>
      <c r="D1220" s="392">
        <v>376214535993</v>
      </c>
      <c r="E1220" s="392">
        <v>214122</v>
      </c>
      <c r="G1220" s="578">
        <f>14.22+50.73</f>
        <v>64.95</v>
      </c>
      <c r="H1220" s="532">
        <v>3188340</v>
      </c>
      <c r="J1220" s="323" t="s">
        <v>2682</v>
      </c>
    </row>
    <row r="1221" spans="1:10" x14ac:dyDescent="0.25">
      <c r="A1221" s="321">
        <v>42893</v>
      </c>
      <c r="B1221" s="323" t="s">
        <v>127</v>
      </c>
      <c r="D1221" s="392">
        <v>376214535993</v>
      </c>
      <c r="E1221" s="392">
        <v>214122</v>
      </c>
      <c r="G1221" s="578">
        <f>10+57.2</f>
        <v>67.2</v>
      </c>
      <c r="H1221" s="532">
        <v>3229029</v>
      </c>
      <c r="J1221" s="323" t="s">
        <v>2682</v>
      </c>
    </row>
    <row r="1222" spans="1:10" x14ac:dyDescent="0.25">
      <c r="A1222" s="321">
        <v>42894</v>
      </c>
      <c r="B1222" s="323" t="s">
        <v>127</v>
      </c>
      <c r="D1222" s="392" t="s">
        <v>3108</v>
      </c>
      <c r="E1222" s="387">
        <v>217536</v>
      </c>
      <c r="G1222" s="578">
        <v>100.95</v>
      </c>
      <c r="H1222" s="532">
        <v>3103458</v>
      </c>
      <c r="J1222" s="323" t="s">
        <v>2682</v>
      </c>
    </row>
    <row r="1223" spans="1:10" x14ac:dyDescent="0.25">
      <c r="A1223" s="321" t="s">
        <v>3221</v>
      </c>
      <c r="B1223" s="323" t="s">
        <v>0</v>
      </c>
      <c r="C1223" s="335" t="s">
        <v>238</v>
      </c>
      <c r="D1223" s="392" t="s">
        <v>181</v>
      </c>
      <c r="E1223" s="387">
        <v>351215</v>
      </c>
      <c r="F1223" s="532" t="s">
        <v>3223</v>
      </c>
      <c r="G1223" s="578">
        <v>40.32</v>
      </c>
      <c r="H1223" s="532">
        <v>3245529</v>
      </c>
      <c r="J1223" s="323" t="s">
        <v>3225</v>
      </c>
    </row>
    <row r="1224" spans="1:10" x14ac:dyDescent="0.25">
      <c r="A1224" s="321" t="s">
        <v>3221</v>
      </c>
      <c r="B1224" s="323" t="s">
        <v>0</v>
      </c>
      <c r="C1224" s="323" t="s">
        <v>238</v>
      </c>
      <c r="D1224" s="392" t="s">
        <v>1263</v>
      </c>
      <c r="E1224" s="387">
        <v>350372</v>
      </c>
      <c r="F1224" s="532" t="s">
        <v>3237</v>
      </c>
      <c r="G1224" s="578">
        <v>32.909999999999997</v>
      </c>
      <c r="H1224" s="588">
        <v>3274535</v>
      </c>
      <c r="J1224" s="323" t="s">
        <v>3234</v>
      </c>
    </row>
    <row r="1225" spans="1:10" x14ac:dyDescent="0.25">
      <c r="A1225" s="321" t="s">
        <v>3221</v>
      </c>
      <c r="B1225" s="323" t="s">
        <v>0</v>
      </c>
      <c r="C1225" s="335" t="s">
        <v>238</v>
      </c>
      <c r="D1225" s="392">
        <v>376271743993</v>
      </c>
      <c r="E1225" s="387">
        <v>351452</v>
      </c>
      <c r="F1225" s="532" t="s">
        <v>3247</v>
      </c>
      <c r="G1225" s="578">
        <v>47.96</v>
      </c>
      <c r="H1225" s="532">
        <v>3239246</v>
      </c>
      <c r="J1225" s="323" t="s">
        <v>3246</v>
      </c>
    </row>
    <row r="1226" spans="1:10" x14ac:dyDescent="0.25">
      <c r="A1226" s="321" t="s">
        <v>3221</v>
      </c>
      <c r="B1226" s="323" t="s">
        <v>0</v>
      </c>
      <c r="C1226" s="335" t="s">
        <v>238</v>
      </c>
      <c r="D1226" s="392" t="s">
        <v>3250</v>
      </c>
      <c r="E1226" s="387">
        <v>111</v>
      </c>
      <c r="F1226" s="532" t="s">
        <v>3249</v>
      </c>
      <c r="G1226" s="578">
        <v>49.56</v>
      </c>
      <c r="H1226" s="532">
        <v>3237411</v>
      </c>
      <c r="J1226" s="323" t="s">
        <v>3248</v>
      </c>
    </row>
    <row r="1227" spans="1:10" x14ac:dyDescent="0.25">
      <c r="A1227" s="321" t="s">
        <v>3221</v>
      </c>
      <c r="B1227" s="323" t="s">
        <v>0</v>
      </c>
      <c r="C1227" s="323" t="s">
        <v>238</v>
      </c>
      <c r="D1227" s="392" t="s">
        <v>2468</v>
      </c>
      <c r="E1227" s="387">
        <v>352754</v>
      </c>
      <c r="F1227" s="532" t="s">
        <v>3252</v>
      </c>
      <c r="G1227" s="578">
        <v>51.19</v>
      </c>
      <c r="H1227" s="588">
        <v>3262801</v>
      </c>
      <c r="J1227" s="323" t="s">
        <v>3251</v>
      </c>
    </row>
    <row r="1228" spans="1:10" x14ac:dyDescent="0.25">
      <c r="A1228" s="321" t="s">
        <v>3221</v>
      </c>
      <c r="B1228" s="323" t="s">
        <v>0</v>
      </c>
      <c r="C1228" s="323" t="s">
        <v>238</v>
      </c>
      <c r="D1228" s="392" t="s">
        <v>2959</v>
      </c>
      <c r="E1228" s="387">
        <v>351330</v>
      </c>
      <c r="F1228" s="532" t="s">
        <v>3254</v>
      </c>
      <c r="G1228" s="578">
        <v>51.35</v>
      </c>
      <c r="H1228" s="588">
        <v>3258250</v>
      </c>
      <c r="J1228" s="323" t="s">
        <v>3253</v>
      </c>
    </row>
    <row r="1229" spans="1:10" x14ac:dyDescent="0.25">
      <c r="A1229" s="321" t="s">
        <v>3221</v>
      </c>
      <c r="B1229" s="323" t="s">
        <v>0</v>
      </c>
      <c r="C1229" s="335" t="s">
        <v>238</v>
      </c>
      <c r="D1229" s="392" t="s">
        <v>3277</v>
      </c>
      <c r="E1229" s="387">
        <v>350311</v>
      </c>
      <c r="F1229" s="532" t="s">
        <v>3279</v>
      </c>
      <c r="G1229" s="578">
        <v>63.25</v>
      </c>
      <c r="H1229" s="532">
        <v>3238618</v>
      </c>
      <c r="J1229" s="323" t="s">
        <v>3275</v>
      </c>
    </row>
    <row r="1230" spans="1:10" x14ac:dyDescent="0.25">
      <c r="A1230" s="321" t="s">
        <v>3221</v>
      </c>
      <c r="B1230" s="323" t="s">
        <v>0</v>
      </c>
      <c r="C1230" s="335" t="s">
        <v>238</v>
      </c>
      <c r="D1230" s="392" t="s">
        <v>3283</v>
      </c>
      <c r="E1230" s="387">
        <v>222090</v>
      </c>
      <c r="F1230" s="532" t="s">
        <v>3284</v>
      </c>
      <c r="G1230" s="578">
        <v>69.95</v>
      </c>
      <c r="H1230" s="532">
        <v>3246329</v>
      </c>
      <c r="J1230" s="323" t="s">
        <v>3281</v>
      </c>
    </row>
    <row r="1231" spans="1:10" x14ac:dyDescent="0.25">
      <c r="A1231" s="321" t="s">
        <v>3221</v>
      </c>
      <c r="B1231" s="323" t="s">
        <v>0</v>
      </c>
      <c r="C1231" s="335" t="s">
        <v>238</v>
      </c>
      <c r="D1231" s="392" t="s">
        <v>2450</v>
      </c>
      <c r="E1231" s="387">
        <v>224428</v>
      </c>
      <c r="F1231" s="532" t="s">
        <v>3288</v>
      </c>
      <c r="G1231" s="578">
        <v>53.5</v>
      </c>
      <c r="H1231" s="532">
        <v>3234841</v>
      </c>
      <c r="J1231" s="323" t="s">
        <v>3286</v>
      </c>
    </row>
    <row r="1232" spans="1:10" x14ac:dyDescent="0.25">
      <c r="A1232" s="321" t="s">
        <v>3221</v>
      </c>
      <c r="B1232" s="323" t="s">
        <v>0</v>
      </c>
      <c r="C1232" s="335" t="s">
        <v>238</v>
      </c>
      <c r="D1232" s="392" t="s">
        <v>96</v>
      </c>
      <c r="E1232" s="387">
        <v>350361</v>
      </c>
      <c r="F1232" s="532">
        <v>239208</v>
      </c>
      <c r="G1232" s="578">
        <v>87.68</v>
      </c>
      <c r="H1232" s="588">
        <v>3239208</v>
      </c>
      <c r="J1232" s="323" t="s">
        <v>3301</v>
      </c>
    </row>
    <row r="1233" spans="1:10" x14ac:dyDescent="0.25">
      <c r="A1233" s="321" t="s">
        <v>3221</v>
      </c>
      <c r="B1233" s="323" t="s">
        <v>0</v>
      </c>
      <c r="C1233" s="323" t="s">
        <v>238</v>
      </c>
      <c r="D1233" s="392" t="s">
        <v>3092</v>
      </c>
      <c r="E1233" s="387">
        <v>223563</v>
      </c>
      <c r="F1233" s="532" t="s">
        <v>3305</v>
      </c>
      <c r="G1233" s="578">
        <v>100.95</v>
      </c>
      <c r="H1233" s="588">
        <v>3272682</v>
      </c>
      <c r="J1233" s="323" t="s">
        <v>3304</v>
      </c>
    </row>
    <row r="1234" spans="1:10" x14ac:dyDescent="0.25">
      <c r="A1234" s="321" t="s">
        <v>3221</v>
      </c>
      <c r="B1234" s="323" t="s">
        <v>0</v>
      </c>
      <c r="C1234" s="335" t="s">
        <v>238</v>
      </c>
      <c r="D1234" s="392" t="s">
        <v>1888</v>
      </c>
      <c r="E1234" s="387">
        <v>211714</v>
      </c>
      <c r="F1234" s="532" t="s">
        <v>3306</v>
      </c>
      <c r="G1234" s="578">
        <v>102.51</v>
      </c>
      <c r="H1234" s="588">
        <v>3241147</v>
      </c>
      <c r="J1234" s="323" t="s">
        <v>3307</v>
      </c>
    </row>
    <row r="1235" spans="1:10" x14ac:dyDescent="0.25">
      <c r="A1235" s="321" t="s">
        <v>3221</v>
      </c>
      <c r="B1235" s="323" t="s">
        <v>0</v>
      </c>
      <c r="C1235" s="335" t="s">
        <v>238</v>
      </c>
      <c r="D1235" s="392" t="s">
        <v>3311</v>
      </c>
      <c r="E1235" s="387">
        <v>212138</v>
      </c>
      <c r="F1235" s="532" t="s">
        <v>3312</v>
      </c>
      <c r="G1235" s="578">
        <v>113.08</v>
      </c>
      <c r="H1235" s="588">
        <v>3247917</v>
      </c>
      <c r="J1235" s="323" t="s">
        <v>3313</v>
      </c>
    </row>
    <row r="1236" spans="1:10" x14ac:dyDescent="0.25">
      <c r="A1236" s="321" t="s">
        <v>3221</v>
      </c>
      <c r="B1236" s="323" t="s">
        <v>0</v>
      </c>
      <c r="C1236" s="323" t="s">
        <v>238</v>
      </c>
      <c r="D1236" s="392" t="s">
        <v>1986</v>
      </c>
      <c r="E1236" s="387">
        <v>352801</v>
      </c>
      <c r="F1236" s="532" t="s">
        <v>3317</v>
      </c>
      <c r="G1236" s="578">
        <v>71.97</v>
      </c>
      <c r="H1236" s="588">
        <v>3267723</v>
      </c>
      <c r="J1236" s="323" t="s">
        <v>3316</v>
      </c>
    </row>
    <row r="1237" spans="1:10" x14ac:dyDescent="0.25">
      <c r="A1237" s="321" t="s">
        <v>3221</v>
      </c>
      <c r="B1237" s="323" t="s">
        <v>0</v>
      </c>
      <c r="C1237" s="335" t="s">
        <v>238</v>
      </c>
      <c r="D1237" s="392" t="s">
        <v>3320</v>
      </c>
      <c r="E1237" s="387">
        <v>226067</v>
      </c>
      <c r="F1237" s="532" t="s">
        <v>3323</v>
      </c>
      <c r="G1237" s="578">
        <v>63.64</v>
      </c>
      <c r="H1237" s="588">
        <v>3273875</v>
      </c>
      <c r="J1237" s="323" t="s">
        <v>3321</v>
      </c>
    </row>
    <row r="1238" spans="1:10" x14ac:dyDescent="0.25">
      <c r="A1238" s="321" t="s">
        <v>3221</v>
      </c>
      <c r="B1238" s="323" t="s">
        <v>0</v>
      </c>
      <c r="C1238" s="323" t="s">
        <v>238</v>
      </c>
      <c r="D1238" s="392" t="s">
        <v>3333</v>
      </c>
      <c r="E1238" s="387">
        <v>352004</v>
      </c>
      <c r="F1238" s="532" t="s">
        <v>3334</v>
      </c>
      <c r="G1238" s="578">
        <v>44.95</v>
      </c>
      <c r="H1238" s="588">
        <v>3234922</v>
      </c>
      <c r="J1238" s="323" t="s">
        <v>3332</v>
      </c>
    </row>
    <row r="1239" spans="1:10" x14ac:dyDescent="0.25">
      <c r="A1239" s="321" t="s">
        <v>3221</v>
      </c>
      <c r="B1239" s="323" t="s">
        <v>0</v>
      </c>
      <c r="C1239" s="335" t="s">
        <v>238</v>
      </c>
      <c r="D1239" s="392" t="s">
        <v>3339</v>
      </c>
      <c r="E1239" s="387">
        <v>351469</v>
      </c>
      <c r="F1239" s="532" t="s">
        <v>3340</v>
      </c>
      <c r="G1239" s="578">
        <v>71.959999999999994</v>
      </c>
      <c r="H1239" s="532">
        <v>3236942</v>
      </c>
      <c r="J1239" s="323" t="s">
        <v>3338</v>
      </c>
    </row>
    <row r="1240" spans="1:10" x14ac:dyDescent="0.25">
      <c r="A1240" s="321" t="s">
        <v>3221</v>
      </c>
      <c r="B1240" s="323" t="s">
        <v>0</v>
      </c>
      <c r="C1240" s="335" t="s">
        <v>238</v>
      </c>
      <c r="D1240" s="392" t="s">
        <v>3350</v>
      </c>
      <c r="E1240" s="387">
        <v>352696</v>
      </c>
      <c r="F1240" s="532" t="s">
        <v>3351</v>
      </c>
      <c r="G1240" s="578">
        <v>197.95</v>
      </c>
      <c r="H1240" s="532">
        <v>3245764</v>
      </c>
      <c r="J1240" s="323" t="s">
        <v>3349</v>
      </c>
    </row>
    <row r="1241" spans="1:10" x14ac:dyDescent="0.25">
      <c r="A1241" s="321" t="s">
        <v>3221</v>
      </c>
      <c r="B1241" s="323" t="s">
        <v>0</v>
      </c>
      <c r="C1241" s="335" t="s">
        <v>238</v>
      </c>
      <c r="D1241" s="392" t="s">
        <v>3356</v>
      </c>
      <c r="E1241" s="387">
        <v>222966</v>
      </c>
      <c r="F1241" s="532" t="s">
        <v>3357</v>
      </c>
      <c r="G1241" s="578">
        <v>228.91</v>
      </c>
      <c r="H1241" s="532">
        <v>3240303</v>
      </c>
      <c r="J1241" s="323" t="s">
        <v>3355</v>
      </c>
    </row>
    <row r="1242" spans="1:10" x14ac:dyDescent="0.25">
      <c r="A1242" s="321" t="s">
        <v>3221</v>
      </c>
      <c r="B1242" s="323" t="s">
        <v>0</v>
      </c>
      <c r="C1242" s="335" t="s">
        <v>238</v>
      </c>
      <c r="D1242" s="392" t="s">
        <v>1355</v>
      </c>
      <c r="E1242" s="387">
        <v>350198</v>
      </c>
      <c r="F1242" s="532" t="s">
        <v>3362</v>
      </c>
      <c r="G1242" s="578">
        <v>267.52999999999997</v>
      </c>
      <c r="H1242" s="532">
        <v>3241770</v>
      </c>
      <c r="J1242" s="323" t="s">
        <v>3361</v>
      </c>
    </row>
    <row r="1243" spans="1:10" x14ac:dyDescent="0.25">
      <c r="A1243" s="321" t="s">
        <v>3221</v>
      </c>
      <c r="B1243" s="323" t="s">
        <v>0</v>
      </c>
      <c r="C1243" s="335" t="s">
        <v>238</v>
      </c>
      <c r="D1243" s="392" t="s">
        <v>3066</v>
      </c>
      <c r="E1243" s="387">
        <v>352331</v>
      </c>
      <c r="F1243" s="532" t="s">
        <v>3370</v>
      </c>
      <c r="G1243" s="578">
        <v>162.81</v>
      </c>
      <c r="H1243" s="532">
        <v>3245164</v>
      </c>
      <c r="J1243" s="323" t="s">
        <v>3368</v>
      </c>
    </row>
    <row r="1244" spans="1:10" x14ac:dyDescent="0.25">
      <c r="A1244" s="321" t="s">
        <v>3221</v>
      </c>
      <c r="B1244" s="323" t="s">
        <v>0</v>
      </c>
      <c r="C1244" s="323" t="s">
        <v>238</v>
      </c>
      <c r="D1244" s="392" t="s">
        <v>2605</v>
      </c>
      <c r="E1244" s="387">
        <v>352956</v>
      </c>
      <c r="F1244" s="532" t="s">
        <v>3377</v>
      </c>
      <c r="G1244" s="578">
        <v>107.95</v>
      </c>
      <c r="H1244" s="588">
        <v>3265433</v>
      </c>
      <c r="J1244" s="323" t="s">
        <v>3375</v>
      </c>
    </row>
    <row r="1245" spans="1:10" x14ac:dyDescent="0.25">
      <c r="A1245" s="321" t="s">
        <v>3221</v>
      </c>
      <c r="B1245" s="323" t="s">
        <v>0</v>
      </c>
      <c r="C1245" s="335" t="s">
        <v>238</v>
      </c>
      <c r="D1245" s="392" t="s">
        <v>3383</v>
      </c>
      <c r="E1245" s="387">
        <v>217887</v>
      </c>
      <c r="F1245" s="532" t="s">
        <v>3381</v>
      </c>
      <c r="G1245" s="578">
        <v>446.22</v>
      </c>
      <c r="H1245" s="532">
        <v>3240611</v>
      </c>
      <c r="J1245" s="323" t="s">
        <v>3379</v>
      </c>
    </row>
    <row r="1246" spans="1:10" x14ac:dyDescent="0.25">
      <c r="A1246" s="321" t="s">
        <v>3221</v>
      </c>
      <c r="B1246" s="323" t="s">
        <v>0</v>
      </c>
      <c r="C1246" s="323" t="s">
        <v>238</v>
      </c>
      <c r="D1246" s="392" t="s">
        <v>2657</v>
      </c>
      <c r="E1246" s="387">
        <v>353049</v>
      </c>
      <c r="F1246" s="532"/>
      <c r="G1246" s="578">
        <v>274.44</v>
      </c>
      <c r="H1246" s="532"/>
      <c r="J1246" s="323" t="s">
        <v>2374</v>
      </c>
    </row>
    <row r="1247" spans="1:10" x14ac:dyDescent="0.25">
      <c r="A1247" s="321" t="s">
        <v>3221</v>
      </c>
      <c r="B1247" s="323" t="s">
        <v>0</v>
      </c>
      <c r="C1247" s="323" t="s">
        <v>238</v>
      </c>
      <c r="D1247" s="392">
        <v>376270992997</v>
      </c>
      <c r="E1247" s="387">
        <v>351269</v>
      </c>
      <c r="F1247" s="594" t="s">
        <v>3413</v>
      </c>
      <c r="G1247" s="578">
        <v>26.27</v>
      </c>
      <c r="H1247" s="532">
        <v>3244343</v>
      </c>
      <c r="J1247" s="323" t="s">
        <v>3780</v>
      </c>
    </row>
    <row r="1248" spans="1:10" x14ac:dyDescent="0.25">
      <c r="A1248" s="321" t="s">
        <v>3221</v>
      </c>
      <c r="B1248" s="323" t="s">
        <v>0</v>
      </c>
      <c r="C1248" s="335" t="s">
        <v>238</v>
      </c>
      <c r="D1248" s="392" t="s">
        <v>3400</v>
      </c>
      <c r="E1248" s="387">
        <v>351035</v>
      </c>
      <c r="F1248" s="532" t="s">
        <v>3401</v>
      </c>
      <c r="G1248" s="578">
        <v>195.96</v>
      </c>
      <c r="H1248" s="532">
        <v>3225478</v>
      </c>
      <c r="I1248" s="588"/>
      <c r="J1248" s="323" t="s">
        <v>3399</v>
      </c>
    </row>
    <row r="1249" spans="1:10" x14ac:dyDescent="0.25">
      <c r="A1249" s="321" t="s">
        <v>3221</v>
      </c>
      <c r="B1249" s="323" t="s">
        <v>0</v>
      </c>
      <c r="C1249" s="335" t="s">
        <v>238</v>
      </c>
      <c r="D1249" s="392" t="s">
        <v>3397</v>
      </c>
      <c r="E1249" s="387">
        <v>352558</v>
      </c>
      <c r="F1249" s="532" t="s">
        <v>3398</v>
      </c>
      <c r="G1249" s="578">
        <v>391.84</v>
      </c>
      <c r="H1249" s="532">
        <v>3227184</v>
      </c>
      <c r="I1249" s="588"/>
      <c r="J1249" s="323" t="s">
        <v>3396</v>
      </c>
    </row>
    <row r="1250" spans="1:10" x14ac:dyDescent="0.25">
      <c r="A1250" s="321" t="s">
        <v>3221</v>
      </c>
      <c r="B1250" s="323" t="s">
        <v>0</v>
      </c>
      <c r="C1250" s="335" t="s">
        <v>238</v>
      </c>
      <c r="D1250" s="392" t="s">
        <v>3271</v>
      </c>
      <c r="E1250" s="387">
        <v>224551</v>
      </c>
      <c r="F1250" s="532" t="s">
        <v>3273</v>
      </c>
      <c r="G1250" s="578">
        <v>60.37</v>
      </c>
      <c r="H1250" s="532">
        <v>3228461</v>
      </c>
      <c r="I1250" s="588"/>
      <c r="J1250" s="323" t="s">
        <v>3269</v>
      </c>
    </row>
    <row r="1251" spans="1:10" x14ac:dyDescent="0.25">
      <c r="A1251" s="321" t="s">
        <v>3221</v>
      </c>
      <c r="B1251" s="323" t="s">
        <v>0</v>
      </c>
      <c r="C1251" s="335" t="s">
        <v>238</v>
      </c>
      <c r="D1251" s="392" t="s">
        <v>3346</v>
      </c>
      <c r="E1251" s="387">
        <v>350404</v>
      </c>
      <c r="F1251" s="532" t="s">
        <v>3348</v>
      </c>
      <c r="G1251" s="578">
        <v>200.61</v>
      </c>
      <c r="H1251" s="532">
        <v>3232949</v>
      </c>
      <c r="I1251" s="588"/>
      <c r="J1251" s="323" t="s">
        <v>3347</v>
      </c>
    </row>
    <row r="1252" spans="1:10" x14ac:dyDescent="0.25">
      <c r="A1252" s="321" t="s">
        <v>3221</v>
      </c>
      <c r="B1252" s="323" t="s">
        <v>0</v>
      </c>
      <c r="C1252" s="335" t="s">
        <v>238</v>
      </c>
      <c r="D1252" s="392" t="s">
        <v>3382</v>
      </c>
      <c r="E1252" s="387">
        <v>352540</v>
      </c>
      <c r="F1252" s="532" t="s">
        <v>3380</v>
      </c>
      <c r="G1252" s="578">
        <v>80.14</v>
      </c>
      <c r="H1252" s="532">
        <v>3242243</v>
      </c>
      <c r="I1252" s="588"/>
      <c r="J1252" s="323" t="s">
        <v>3378</v>
      </c>
    </row>
    <row r="1253" spans="1:10" x14ac:dyDescent="0.25">
      <c r="A1253" s="321" t="s">
        <v>3221</v>
      </c>
      <c r="B1253" s="323" t="s">
        <v>0</v>
      </c>
      <c r="C1253" s="335" t="s">
        <v>238</v>
      </c>
      <c r="D1253" s="392" t="s">
        <v>3373</v>
      </c>
      <c r="E1253" s="387">
        <v>350476</v>
      </c>
      <c r="F1253" s="532" t="s">
        <v>3374</v>
      </c>
      <c r="G1253" s="578">
        <v>162.36000000000001</v>
      </c>
      <c r="H1253" s="532">
        <v>3242288</v>
      </c>
      <c r="I1253" s="588"/>
      <c r="J1253" s="323" t="s">
        <v>3372</v>
      </c>
    </row>
    <row r="1254" spans="1:10" x14ac:dyDescent="0.25">
      <c r="A1254" s="321" t="s">
        <v>3221</v>
      </c>
      <c r="B1254" s="323" t="s">
        <v>0</v>
      </c>
      <c r="C1254" s="335" t="s">
        <v>238</v>
      </c>
      <c r="D1254" s="392" t="s">
        <v>3276</v>
      </c>
      <c r="E1254" s="387">
        <v>352357</v>
      </c>
      <c r="F1254" s="532" t="s">
        <v>3278</v>
      </c>
      <c r="G1254" s="578">
        <v>62.95</v>
      </c>
      <c r="H1254" s="532">
        <v>3243089</v>
      </c>
      <c r="I1254" s="588"/>
      <c r="J1254" s="323" t="s">
        <v>3274</v>
      </c>
    </row>
    <row r="1255" spans="1:10" x14ac:dyDescent="0.25">
      <c r="A1255" s="321" t="s">
        <v>3221</v>
      </c>
      <c r="B1255" s="323" t="s">
        <v>0</v>
      </c>
      <c r="C1255" s="335" t="s">
        <v>238</v>
      </c>
      <c r="D1255" s="392" t="s">
        <v>2377</v>
      </c>
      <c r="E1255" s="387">
        <v>226632</v>
      </c>
      <c r="F1255" s="532" t="s">
        <v>3242</v>
      </c>
      <c r="G1255" s="578">
        <v>39.65</v>
      </c>
      <c r="H1255" s="532">
        <v>3246258</v>
      </c>
      <c r="I1255" s="588"/>
      <c r="J1255" s="323" t="s">
        <v>3241</v>
      </c>
    </row>
    <row r="1256" spans="1:10" x14ac:dyDescent="0.25">
      <c r="A1256" s="321" t="s">
        <v>3221</v>
      </c>
      <c r="B1256" s="323" t="s">
        <v>0</v>
      </c>
      <c r="C1256" s="335" t="s">
        <v>238</v>
      </c>
      <c r="D1256" s="392" t="s">
        <v>2250</v>
      </c>
      <c r="E1256" s="387">
        <v>357</v>
      </c>
      <c r="F1256" s="532" t="s">
        <v>3262</v>
      </c>
      <c r="G1256" s="578">
        <v>54.95</v>
      </c>
      <c r="H1256" s="532">
        <v>3247978</v>
      </c>
      <c r="I1256" s="588"/>
      <c r="J1256" s="323" t="s">
        <v>3257</v>
      </c>
    </row>
    <row r="1257" spans="1:10" x14ac:dyDescent="0.25">
      <c r="A1257" s="321" t="s">
        <v>3221</v>
      </c>
      <c r="B1257" s="323" t="s">
        <v>0</v>
      </c>
      <c r="C1257" s="335" t="s">
        <v>238</v>
      </c>
      <c r="D1257" s="392" t="s">
        <v>2605</v>
      </c>
      <c r="E1257" s="387">
        <v>352956</v>
      </c>
      <c r="F1257" s="532" t="s">
        <v>3376</v>
      </c>
      <c r="G1257" s="578">
        <v>129.94999999999999</v>
      </c>
      <c r="H1257" s="532">
        <v>3248682</v>
      </c>
      <c r="I1257" s="588"/>
      <c r="J1257" s="323" t="s">
        <v>3375</v>
      </c>
    </row>
    <row r="1258" spans="1:10" x14ac:dyDescent="0.25">
      <c r="A1258" s="321" t="s">
        <v>3221</v>
      </c>
      <c r="B1258" s="323" t="s">
        <v>0</v>
      </c>
      <c r="C1258" s="335" t="s">
        <v>238</v>
      </c>
      <c r="D1258" s="392" t="s">
        <v>181</v>
      </c>
      <c r="E1258" s="387">
        <v>351215</v>
      </c>
      <c r="F1258" s="532" t="s">
        <v>3222</v>
      </c>
      <c r="G1258" s="578">
        <v>60.64</v>
      </c>
      <c r="H1258" s="532">
        <v>3249703</v>
      </c>
      <c r="I1258" s="588"/>
      <c r="J1258" s="323" t="s">
        <v>3225</v>
      </c>
    </row>
    <row r="1259" spans="1:10" x14ac:dyDescent="0.25">
      <c r="A1259" s="321" t="s">
        <v>3221</v>
      </c>
      <c r="B1259" s="323" t="s">
        <v>0</v>
      </c>
      <c r="C1259" s="335" t="s">
        <v>238</v>
      </c>
      <c r="D1259" s="392" t="s">
        <v>2774</v>
      </c>
      <c r="E1259" s="387">
        <v>352706</v>
      </c>
      <c r="F1259" s="532" t="s">
        <v>3240</v>
      </c>
      <c r="G1259" s="578">
        <v>35.9</v>
      </c>
      <c r="H1259" s="532">
        <v>3250259</v>
      </c>
      <c r="I1259" s="588"/>
      <c r="J1259" s="323" t="s">
        <v>3239</v>
      </c>
    </row>
    <row r="1260" spans="1:10" x14ac:dyDescent="0.25">
      <c r="A1260" s="321" t="s">
        <v>3221</v>
      </c>
      <c r="B1260" s="323" t="s">
        <v>0</v>
      </c>
      <c r="C1260" s="335" t="s">
        <v>238</v>
      </c>
      <c r="D1260" s="392" t="s">
        <v>3388</v>
      </c>
      <c r="E1260" s="387">
        <v>350464</v>
      </c>
      <c r="F1260" s="532" t="s">
        <v>3389</v>
      </c>
      <c r="G1260" s="578">
        <v>29.9</v>
      </c>
      <c r="H1260" s="532">
        <v>3250567</v>
      </c>
      <c r="I1260" s="588"/>
      <c r="J1260" s="323" t="s">
        <v>3387</v>
      </c>
    </row>
    <row r="1261" spans="1:10" x14ac:dyDescent="0.25">
      <c r="A1261" s="321" t="s">
        <v>3221</v>
      </c>
      <c r="B1261" s="323" t="s">
        <v>0</v>
      </c>
      <c r="C1261" s="335" t="s">
        <v>238</v>
      </c>
      <c r="D1261" s="392" t="s">
        <v>3289</v>
      </c>
      <c r="E1261" s="387">
        <v>35030</v>
      </c>
      <c r="F1261" s="532" t="s">
        <v>3287</v>
      </c>
      <c r="G1261" s="578">
        <v>83.9</v>
      </c>
      <c r="H1261" s="532">
        <v>3250580</v>
      </c>
      <c r="I1261" s="588"/>
      <c r="J1261" s="323" t="s">
        <v>3285</v>
      </c>
    </row>
    <row r="1262" spans="1:10" x14ac:dyDescent="0.25">
      <c r="A1262" s="321" t="s">
        <v>3221</v>
      </c>
      <c r="B1262" s="323" t="s">
        <v>0</v>
      </c>
      <c r="C1262" s="335" t="s">
        <v>238</v>
      </c>
      <c r="D1262" s="392" t="s">
        <v>3292</v>
      </c>
      <c r="E1262" s="387">
        <v>226401</v>
      </c>
      <c r="F1262" s="532" t="s">
        <v>3296</v>
      </c>
      <c r="G1262" s="578">
        <v>49.95</v>
      </c>
      <c r="H1262" s="532">
        <v>3250862</v>
      </c>
      <c r="I1262" s="588"/>
      <c r="J1262" s="323" t="s">
        <v>3294</v>
      </c>
    </row>
    <row r="1263" spans="1:10" x14ac:dyDescent="0.25">
      <c r="A1263" s="321" t="s">
        <v>3221</v>
      </c>
      <c r="B1263" s="323" t="s">
        <v>0</v>
      </c>
      <c r="C1263" s="335" t="s">
        <v>238</v>
      </c>
      <c r="D1263" s="392" t="s">
        <v>3359</v>
      </c>
      <c r="E1263" s="387">
        <v>351525</v>
      </c>
      <c r="F1263" s="532" t="s">
        <v>3360</v>
      </c>
      <c r="G1263" s="578">
        <v>91.95</v>
      </c>
      <c r="H1263" s="532">
        <v>3251273</v>
      </c>
      <c r="I1263" s="588"/>
      <c r="J1263" s="323" t="s">
        <v>3358</v>
      </c>
    </row>
    <row r="1264" spans="1:10" x14ac:dyDescent="0.25">
      <c r="A1264" s="321" t="s">
        <v>3221</v>
      </c>
      <c r="B1264" s="323" t="s">
        <v>0</v>
      </c>
      <c r="C1264" s="335" t="s">
        <v>238</v>
      </c>
      <c r="D1264" s="392" t="s">
        <v>3339</v>
      </c>
      <c r="E1264" s="387">
        <v>351469</v>
      </c>
      <c r="F1264" s="532" t="s">
        <v>3341</v>
      </c>
      <c r="G1264" s="578">
        <v>117.96</v>
      </c>
      <c r="H1264" s="532">
        <v>3252646</v>
      </c>
      <c r="I1264" s="588"/>
      <c r="J1264" s="323" t="s">
        <v>3338</v>
      </c>
    </row>
    <row r="1265" spans="1:10" x14ac:dyDescent="0.25">
      <c r="A1265" s="321" t="s">
        <v>3221</v>
      </c>
      <c r="B1265" s="323" t="s">
        <v>0</v>
      </c>
      <c r="C1265" s="335" t="s">
        <v>238</v>
      </c>
      <c r="D1265" s="392" t="s">
        <v>3325</v>
      </c>
      <c r="E1265" s="387">
        <v>350394</v>
      </c>
      <c r="F1265" s="532" t="s">
        <v>3326</v>
      </c>
      <c r="G1265" s="578">
        <v>40.229999999999997</v>
      </c>
      <c r="H1265" s="588">
        <v>3252740</v>
      </c>
      <c r="I1265" s="588"/>
      <c r="J1265" s="323" t="s">
        <v>3324</v>
      </c>
    </row>
    <row r="1266" spans="1:10" x14ac:dyDescent="0.25">
      <c r="A1266" s="321" t="s">
        <v>3221</v>
      </c>
      <c r="B1266" s="323" t="s">
        <v>0</v>
      </c>
      <c r="C1266" s="335" t="s">
        <v>238</v>
      </c>
      <c r="D1266" s="392" t="s">
        <v>3344</v>
      </c>
      <c r="E1266" s="387">
        <v>211725</v>
      </c>
      <c r="F1266" s="532" t="s">
        <v>3345</v>
      </c>
      <c r="G1266" s="578">
        <v>197.9</v>
      </c>
      <c r="H1266" s="532">
        <v>3253823</v>
      </c>
      <c r="I1266" s="588"/>
      <c r="J1266" s="323" t="s">
        <v>3343</v>
      </c>
    </row>
    <row r="1267" spans="1:10" x14ac:dyDescent="0.25">
      <c r="A1267" s="321" t="s">
        <v>3221</v>
      </c>
      <c r="B1267" s="323" t="s">
        <v>0</v>
      </c>
      <c r="C1267" s="335" t="s">
        <v>238</v>
      </c>
      <c r="D1267" s="392" t="s">
        <v>2166</v>
      </c>
      <c r="E1267" s="387">
        <v>221729</v>
      </c>
      <c r="F1267" s="532" t="s">
        <v>3295</v>
      </c>
      <c r="G1267" s="578">
        <v>95.9</v>
      </c>
      <c r="H1267" s="532">
        <v>3254131</v>
      </c>
      <c r="I1267" s="588"/>
      <c r="J1267" s="323" t="s">
        <v>3293</v>
      </c>
    </row>
    <row r="1268" spans="1:10" x14ac:dyDescent="0.25">
      <c r="A1268" s="321" t="s">
        <v>3221</v>
      </c>
      <c r="B1268" s="323" t="s">
        <v>0</v>
      </c>
      <c r="C1268" s="335" t="s">
        <v>238</v>
      </c>
      <c r="D1268" s="392" t="s">
        <v>3385</v>
      </c>
      <c r="E1268" s="387">
        <v>216222</v>
      </c>
      <c r="F1268" s="532" t="s">
        <v>3386</v>
      </c>
      <c r="G1268" s="578">
        <v>497.53</v>
      </c>
      <c r="H1268" s="532">
        <v>3254253</v>
      </c>
      <c r="I1268" s="588"/>
      <c r="J1268" s="323" t="s">
        <v>3384</v>
      </c>
    </row>
    <row r="1269" spans="1:10" x14ac:dyDescent="0.25">
      <c r="A1269" s="321" t="s">
        <v>3221</v>
      </c>
      <c r="B1269" s="323" t="s">
        <v>0</v>
      </c>
      <c r="C1269" s="335" t="s">
        <v>238</v>
      </c>
      <c r="D1269" s="392" t="s">
        <v>1444</v>
      </c>
      <c r="E1269" s="387">
        <v>350191</v>
      </c>
      <c r="F1269" s="532" t="s">
        <v>3315</v>
      </c>
      <c r="G1269" s="578">
        <v>116.5</v>
      </c>
      <c r="H1269" s="588">
        <v>3254641</v>
      </c>
      <c r="I1269" s="588"/>
      <c r="J1269" s="323" t="s">
        <v>3314</v>
      </c>
    </row>
    <row r="1270" spans="1:10" x14ac:dyDescent="0.25">
      <c r="A1270" s="321" t="s">
        <v>3221</v>
      </c>
      <c r="B1270" s="323" t="s">
        <v>0</v>
      </c>
      <c r="C1270" s="335" t="s">
        <v>238</v>
      </c>
      <c r="D1270" s="392" t="s">
        <v>269</v>
      </c>
      <c r="E1270" s="387">
        <v>216328</v>
      </c>
      <c r="F1270" s="532" t="s">
        <v>3291</v>
      </c>
      <c r="G1270" s="578">
        <v>95.17</v>
      </c>
      <c r="H1270" s="532">
        <v>3255664</v>
      </c>
      <c r="I1270" s="588"/>
      <c r="J1270" s="323" t="s">
        <v>3290</v>
      </c>
    </row>
    <row r="1271" spans="1:10" x14ac:dyDescent="0.25">
      <c r="A1271" s="321" t="s">
        <v>3221</v>
      </c>
      <c r="B1271" s="323" t="s">
        <v>0</v>
      </c>
      <c r="C1271" s="335" t="s">
        <v>238</v>
      </c>
      <c r="D1271" s="392" t="s">
        <v>1462</v>
      </c>
      <c r="E1271" s="387">
        <v>213008</v>
      </c>
      <c r="F1271" s="532" t="s">
        <v>3244</v>
      </c>
      <c r="G1271" s="578">
        <v>46.38</v>
      </c>
      <c r="H1271" s="532">
        <v>3256157</v>
      </c>
      <c r="I1271" s="588"/>
      <c r="J1271" s="323" t="s">
        <v>3245</v>
      </c>
    </row>
    <row r="1272" spans="1:10" x14ac:dyDescent="0.25">
      <c r="A1272" s="321" t="s">
        <v>3221</v>
      </c>
      <c r="B1272" s="323" t="s">
        <v>0</v>
      </c>
      <c r="C1272" s="335" t="s">
        <v>238</v>
      </c>
      <c r="D1272" s="392" t="s">
        <v>396</v>
      </c>
      <c r="E1272" s="387">
        <v>350503</v>
      </c>
      <c r="F1272" s="532" t="s">
        <v>3406</v>
      </c>
      <c r="G1272" s="578">
        <v>56.95</v>
      </c>
      <c r="H1272" s="532">
        <v>3256393</v>
      </c>
      <c r="I1272" s="588"/>
      <c r="J1272" s="323" t="s">
        <v>3404</v>
      </c>
    </row>
    <row r="1273" spans="1:10" x14ac:dyDescent="0.25">
      <c r="A1273" s="321" t="s">
        <v>3221</v>
      </c>
      <c r="B1273" s="323" t="s">
        <v>0</v>
      </c>
      <c r="C1273" s="335" t="s">
        <v>238</v>
      </c>
      <c r="D1273" s="392" t="s">
        <v>3259</v>
      </c>
      <c r="E1273" s="387">
        <v>225642</v>
      </c>
      <c r="F1273" s="532" t="s">
        <v>3261</v>
      </c>
      <c r="G1273" s="578">
        <v>54.95</v>
      </c>
      <c r="H1273" s="532">
        <v>3256562</v>
      </c>
      <c r="I1273" s="588"/>
      <c r="J1273" s="323" t="s">
        <v>3256</v>
      </c>
    </row>
    <row r="1274" spans="1:10" x14ac:dyDescent="0.25">
      <c r="A1274" s="321" t="s">
        <v>3221</v>
      </c>
      <c r="B1274" s="323" t="s">
        <v>0</v>
      </c>
      <c r="C1274" s="335" t="s">
        <v>238</v>
      </c>
      <c r="D1274" s="392" t="s">
        <v>3270</v>
      </c>
      <c r="E1274" s="387">
        <v>351476</v>
      </c>
      <c r="F1274" s="532" t="s">
        <v>3272</v>
      </c>
      <c r="G1274" s="578">
        <v>59.95</v>
      </c>
      <c r="H1274" s="532">
        <v>3257365</v>
      </c>
      <c r="I1274" s="588"/>
      <c r="J1274" s="323" t="s">
        <v>3268</v>
      </c>
    </row>
    <row r="1275" spans="1:10" x14ac:dyDescent="0.25">
      <c r="A1275" s="321" t="s">
        <v>3221</v>
      </c>
      <c r="B1275" s="323" t="s">
        <v>0</v>
      </c>
      <c r="C1275" s="335" t="s">
        <v>238</v>
      </c>
      <c r="D1275" s="392" t="s">
        <v>59</v>
      </c>
      <c r="E1275" s="387">
        <v>350569</v>
      </c>
      <c r="F1275" s="532" t="s">
        <v>3408</v>
      </c>
      <c r="G1275" s="578">
        <v>321.85000000000002</v>
      </c>
      <c r="H1275" s="532">
        <v>3258062</v>
      </c>
      <c r="I1275" s="588"/>
      <c r="J1275" s="323" t="s">
        <v>3407</v>
      </c>
    </row>
    <row r="1276" spans="1:10" x14ac:dyDescent="0.25">
      <c r="A1276" s="321" t="s">
        <v>3221</v>
      </c>
      <c r="B1276" s="323" t="s">
        <v>0</v>
      </c>
      <c r="C1276" s="335" t="s">
        <v>238</v>
      </c>
      <c r="D1276" s="392" t="s">
        <v>3320</v>
      </c>
      <c r="E1276" s="387">
        <v>226067</v>
      </c>
      <c r="F1276" s="532" t="s">
        <v>3322</v>
      </c>
      <c r="G1276" s="578">
        <v>68.88</v>
      </c>
      <c r="H1276" s="588">
        <v>3258272</v>
      </c>
      <c r="I1276" s="588"/>
      <c r="J1276" s="323" t="s">
        <v>3321</v>
      </c>
    </row>
    <row r="1277" spans="1:10" x14ac:dyDescent="0.25">
      <c r="A1277" s="321" t="s">
        <v>3221</v>
      </c>
      <c r="B1277" s="323" t="s">
        <v>0</v>
      </c>
      <c r="C1277" s="335" t="s">
        <v>238</v>
      </c>
      <c r="D1277" s="392" t="s">
        <v>2231</v>
      </c>
      <c r="E1277" s="387">
        <v>351500</v>
      </c>
      <c r="F1277" s="532" t="s">
        <v>3303</v>
      </c>
      <c r="G1277" s="578">
        <v>99.7</v>
      </c>
      <c r="H1277" s="532">
        <v>3258286</v>
      </c>
      <c r="I1277" s="588"/>
      <c r="J1277" s="323" t="s">
        <v>3302</v>
      </c>
    </row>
    <row r="1278" spans="1:10" x14ac:dyDescent="0.25">
      <c r="A1278" s="321" t="s">
        <v>3221</v>
      </c>
      <c r="B1278" s="323" t="s">
        <v>0</v>
      </c>
      <c r="C1278" s="335" t="s">
        <v>238</v>
      </c>
      <c r="D1278" s="392" t="s">
        <v>3235</v>
      </c>
      <c r="E1278" s="387">
        <v>1174</v>
      </c>
      <c r="F1278" s="532" t="s">
        <v>3238</v>
      </c>
      <c r="G1278" s="578">
        <v>34.25</v>
      </c>
      <c r="H1278" s="532">
        <v>3258396</v>
      </c>
      <c r="I1278" s="588"/>
      <c r="J1278" s="323" t="s">
        <v>3236</v>
      </c>
    </row>
    <row r="1279" spans="1:10" x14ac:dyDescent="0.25">
      <c r="A1279" s="321" t="s">
        <v>3221</v>
      </c>
      <c r="B1279" s="323" t="s">
        <v>0</v>
      </c>
      <c r="C1279" s="335" t="s">
        <v>238</v>
      </c>
      <c r="D1279" s="392" t="s">
        <v>3329</v>
      </c>
      <c r="E1279" s="387">
        <v>350308</v>
      </c>
      <c r="F1279" s="532" t="s">
        <v>3331</v>
      </c>
      <c r="G1279" s="578">
        <v>147.9</v>
      </c>
      <c r="H1279" s="588">
        <v>3258710</v>
      </c>
      <c r="I1279" s="588"/>
      <c r="J1279" s="323" t="s">
        <v>3330</v>
      </c>
    </row>
    <row r="1280" spans="1:10" x14ac:dyDescent="0.25">
      <c r="A1280" s="321" t="s">
        <v>3221</v>
      </c>
      <c r="B1280" s="323" t="s">
        <v>0</v>
      </c>
      <c r="C1280" s="335" t="s">
        <v>238</v>
      </c>
      <c r="D1280" s="392" t="s">
        <v>3309</v>
      </c>
      <c r="E1280" s="387">
        <v>212228</v>
      </c>
      <c r="F1280" s="532" t="s">
        <v>3310</v>
      </c>
      <c r="G1280" s="578">
        <v>108.95</v>
      </c>
      <c r="H1280" s="588">
        <v>3258772</v>
      </c>
      <c r="I1280" s="588"/>
      <c r="J1280" s="323" t="s">
        <v>3308</v>
      </c>
    </row>
    <row r="1281" spans="1:10" x14ac:dyDescent="0.25">
      <c r="A1281" s="321" t="s">
        <v>3221</v>
      </c>
      <c r="B1281" s="323" t="s">
        <v>0</v>
      </c>
      <c r="C1281" s="335" t="s">
        <v>238</v>
      </c>
      <c r="D1281" s="392" t="s">
        <v>202</v>
      </c>
      <c r="E1281" s="387">
        <v>350412</v>
      </c>
      <c r="F1281" s="532" t="s">
        <v>3403</v>
      </c>
      <c r="G1281" s="578">
        <v>127.52</v>
      </c>
      <c r="H1281" s="532">
        <v>3259170</v>
      </c>
      <c r="I1281" s="588"/>
      <c r="J1281" s="323" t="s">
        <v>3402</v>
      </c>
    </row>
    <row r="1282" spans="1:10" x14ac:dyDescent="0.25">
      <c r="A1282" s="321" t="s">
        <v>3221</v>
      </c>
      <c r="B1282" s="323" t="s">
        <v>0</v>
      </c>
      <c r="C1282" s="335" t="s">
        <v>238</v>
      </c>
      <c r="D1282" s="392" t="s">
        <v>3336</v>
      </c>
      <c r="E1282" s="387">
        <v>352326</v>
      </c>
      <c r="F1282" s="532" t="s">
        <v>3337</v>
      </c>
      <c r="G1282" s="578">
        <v>48.01</v>
      </c>
      <c r="H1282" s="588">
        <v>3259533</v>
      </c>
      <c r="I1282" s="588"/>
      <c r="J1282" s="323" t="s">
        <v>3335</v>
      </c>
    </row>
    <row r="1283" spans="1:10" x14ac:dyDescent="0.25">
      <c r="A1283" s="321" t="s">
        <v>3221</v>
      </c>
      <c r="B1283" s="323" t="s">
        <v>0</v>
      </c>
      <c r="C1283" s="335" t="s">
        <v>238</v>
      </c>
      <c r="D1283" s="392" t="s">
        <v>3364</v>
      </c>
      <c r="E1283" s="387">
        <v>351810</v>
      </c>
      <c r="F1283" s="532" t="s">
        <v>3365</v>
      </c>
      <c r="G1283" s="578">
        <v>315.45</v>
      </c>
      <c r="H1283" s="532">
        <v>3260630</v>
      </c>
      <c r="I1283" s="588"/>
      <c r="J1283" s="323" t="s">
        <v>3363</v>
      </c>
    </row>
    <row r="1284" spans="1:10" x14ac:dyDescent="0.25">
      <c r="A1284" s="321" t="s">
        <v>3221</v>
      </c>
      <c r="B1284" s="323" t="s">
        <v>0</v>
      </c>
      <c r="C1284" s="335" t="s">
        <v>238</v>
      </c>
      <c r="D1284" s="392" t="s">
        <v>396</v>
      </c>
      <c r="E1284" s="387">
        <v>350503</v>
      </c>
      <c r="F1284" s="532" t="s">
        <v>3405</v>
      </c>
      <c r="G1284" s="578">
        <v>94.95</v>
      </c>
      <c r="H1284" s="532">
        <v>3260722</v>
      </c>
      <c r="I1284" s="588"/>
      <c r="J1284" s="323" t="s">
        <v>3404</v>
      </c>
    </row>
    <row r="1285" spans="1:10" x14ac:dyDescent="0.25">
      <c r="A1285" s="321" t="s">
        <v>3221</v>
      </c>
      <c r="B1285" s="323" t="s">
        <v>0</v>
      </c>
      <c r="C1285" s="335" t="s">
        <v>238</v>
      </c>
      <c r="D1285" s="392" t="s">
        <v>3258</v>
      </c>
      <c r="E1285" s="387">
        <v>350189</v>
      </c>
      <c r="F1285" s="532" t="s">
        <v>3260</v>
      </c>
      <c r="G1285" s="578">
        <v>54.9</v>
      </c>
      <c r="H1285" s="588">
        <v>3261255</v>
      </c>
      <c r="I1285" s="588"/>
      <c r="J1285" s="323" t="s">
        <v>3255</v>
      </c>
    </row>
    <row r="1286" spans="1:10" x14ac:dyDescent="0.25">
      <c r="A1286" s="321" t="s">
        <v>3221</v>
      </c>
      <c r="B1286" s="323" t="s">
        <v>0</v>
      </c>
      <c r="C1286" s="335" t="s">
        <v>238</v>
      </c>
      <c r="D1286" s="392" t="s">
        <v>3229</v>
      </c>
      <c r="E1286" s="387">
        <v>350086</v>
      </c>
      <c r="F1286" s="532" t="s">
        <v>3228</v>
      </c>
      <c r="G1286" s="578">
        <v>24.95</v>
      </c>
      <c r="H1286" s="532">
        <v>3261780</v>
      </c>
      <c r="I1286" s="588"/>
      <c r="J1286" s="323" t="s">
        <v>3227</v>
      </c>
    </row>
    <row r="1287" spans="1:10" x14ac:dyDescent="0.25">
      <c r="A1287" s="321" t="s">
        <v>3221</v>
      </c>
      <c r="B1287" s="323" t="s">
        <v>0</v>
      </c>
      <c r="C1287" s="335" t="s">
        <v>238</v>
      </c>
      <c r="D1287" s="392" t="s">
        <v>3388</v>
      </c>
      <c r="E1287" s="387">
        <v>350464</v>
      </c>
      <c r="F1287" s="532" t="s">
        <v>3390</v>
      </c>
      <c r="G1287" s="578">
        <v>277.16000000000003</v>
      </c>
      <c r="H1287" s="532">
        <v>3264328</v>
      </c>
      <c r="I1287" s="588"/>
      <c r="J1287" s="323" t="s">
        <v>3387</v>
      </c>
    </row>
    <row r="1288" spans="1:10" x14ac:dyDescent="0.25">
      <c r="A1288" s="321" t="s">
        <v>3221</v>
      </c>
      <c r="B1288" s="323" t="s">
        <v>0</v>
      </c>
      <c r="C1288" s="335" t="s">
        <v>238</v>
      </c>
      <c r="D1288" s="392" t="s">
        <v>181</v>
      </c>
      <c r="E1288" s="387">
        <v>351215</v>
      </c>
      <c r="F1288" s="532" t="s">
        <v>3224</v>
      </c>
      <c r="G1288" s="578">
        <v>49.5</v>
      </c>
      <c r="H1288" s="532">
        <v>3265037</v>
      </c>
      <c r="I1288" s="588"/>
      <c r="J1288" s="323" t="s">
        <v>3225</v>
      </c>
    </row>
    <row r="1289" spans="1:10" x14ac:dyDescent="0.25">
      <c r="A1289" s="321" t="s">
        <v>3221</v>
      </c>
      <c r="B1289" s="323" t="s">
        <v>0</v>
      </c>
      <c r="C1289" s="335" t="s">
        <v>238</v>
      </c>
      <c r="D1289" s="392" t="s">
        <v>108</v>
      </c>
      <c r="E1289" s="387">
        <v>350417</v>
      </c>
      <c r="F1289" s="532" t="s">
        <v>3411</v>
      </c>
      <c r="G1289" s="578">
        <v>44.58</v>
      </c>
      <c r="H1289" s="532">
        <v>3265348</v>
      </c>
      <c r="I1289" s="588"/>
      <c r="J1289" s="323" t="s">
        <v>3410</v>
      </c>
    </row>
    <row r="1290" spans="1:10" x14ac:dyDescent="0.25">
      <c r="A1290" s="321" t="s">
        <v>3221</v>
      </c>
      <c r="B1290" s="323" t="s">
        <v>0</v>
      </c>
      <c r="C1290" s="323" t="s">
        <v>2688</v>
      </c>
      <c r="D1290" s="392" t="s">
        <v>2339</v>
      </c>
      <c r="E1290" s="387">
        <v>217937</v>
      </c>
      <c r="F1290" s="532" t="s">
        <v>2803</v>
      </c>
      <c r="G1290" s="578">
        <v>-59.5</v>
      </c>
      <c r="H1290" s="532">
        <v>3180436</v>
      </c>
      <c r="J1290" s="323" t="s">
        <v>3226</v>
      </c>
    </row>
    <row r="1291" spans="1:10" x14ac:dyDescent="0.25">
      <c r="A1291" s="321" t="s">
        <v>3221</v>
      </c>
      <c r="B1291" s="323" t="s">
        <v>0</v>
      </c>
      <c r="C1291" s="323" t="s">
        <v>238</v>
      </c>
      <c r="D1291" s="392" t="s">
        <v>1440</v>
      </c>
      <c r="E1291" s="387">
        <v>350418</v>
      </c>
      <c r="F1291" s="532" t="s">
        <v>3395</v>
      </c>
      <c r="G1291" s="578">
        <v>587.41999999999996</v>
      </c>
      <c r="H1291" s="532">
        <v>3268867</v>
      </c>
      <c r="J1291" s="323" t="s">
        <v>3394</v>
      </c>
    </row>
    <row r="1292" spans="1:10" x14ac:dyDescent="0.25">
      <c r="A1292" s="321" t="s">
        <v>3221</v>
      </c>
      <c r="B1292" s="323" t="s">
        <v>0</v>
      </c>
      <c r="C1292" s="323" t="s">
        <v>238</v>
      </c>
      <c r="D1292" s="392" t="s">
        <v>3297</v>
      </c>
      <c r="E1292" s="387">
        <v>353080</v>
      </c>
      <c r="F1292" s="532"/>
      <c r="G1292" s="578">
        <v>35.22</v>
      </c>
      <c r="H1292" s="532"/>
      <c r="J1292" s="323" t="s">
        <v>2374</v>
      </c>
    </row>
    <row r="1293" spans="1:10" x14ac:dyDescent="0.25">
      <c r="A1293" s="321" t="s">
        <v>3221</v>
      </c>
      <c r="B1293" s="323" t="s">
        <v>0</v>
      </c>
      <c r="C1293" s="323" t="s">
        <v>238</v>
      </c>
      <c r="D1293" s="392" t="s">
        <v>3342</v>
      </c>
      <c r="E1293" s="387">
        <v>353760</v>
      </c>
      <c r="F1293" s="532"/>
      <c r="G1293" s="578">
        <v>40.229999999999997</v>
      </c>
      <c r="H1293" s="532"/>
      <c r="J1293" s="323" t="s">
        <v>2374</v>
      </c>
    </row>
    <row r="1294" spans="1:10" x14ac:dyDescent="0.25">
      <c r="A1294" s="321" t="s">
        <v>3221</v>
      </c>
      <c r="B1294" s="323" t="s">
        <v>0</v>
      </c>
      <c r="C1294" s="323" t="s">
        <v>238</v>
      </c>
      <c r="D1294" s="392" t="s">
        <v>3266</v>
      </c>
      <c r="E1294" s="387">
        <v>353614</v>
      </c>
      <c r="F1294" s="532"/>
      <c r="G1294" s="578">
        <v>58.95</v>
      </c>
      <c r="H1294" s="532"/>
      <c r="J1294" s="323" t="s">
        <v>3267</v>
      </c>
    </row>
    <row r="1295" spans="1:10" x14ac:dyDescent="0.25">
      <c r="A1295" s="321" t="s">
        <v>3221</v>
      </c>
      <c r="B1295" s="323" t="s">
        <v>0</v>
      </c>
      <c r="C1295" s="335" t="s">
        <v>238</v>
      </c>
      <c r="D1295" s="392">
        <v>376270992997</v>
      </c>
      <c r="E1295" s="387">
        <v>351269</v>
      </c>
      <c r="F1295" s="594" t="s">
        <v>3412</v>
      </c>
      <c r="G1295" s="578">
        <v>26.27</v>
      </c>
      <c r="H1295" s="532">
        <v>3265912</v>
      </c>
      <c r="I1295" s="588"/>
      <c r="J1295" s="323" t="s">
        <v>3779</v>
      </c>
    </row>
    <row r="1296" spans="1:10" x14ac:dyDescent="0.25">
      <c r="A1296" s="321" t="s">
        <v>3221</v>
      </c>
      <c r="B1296" s="323" t="s">
        <v>0</v>
      </c>
      <c r="C1296" s="335" t="s">
        <v>238</v>
      </c>
      <c r="D1296" s="392" t="s">
        <v>59</v>
      </c>
      <c r="E1296" s="387">
        <v>350569</v>
      </c>
      <c r="F1296" s="532" t="s">
        <v>3409</v>
      </c>
      <c r="G1296" s="578">
        <v>138.9</v>
      </c>
      <c r="H1296" s="532">
        <v>3266732</v>
      </c>
      <c r="I1296" s="588"/>
      <c r="J1296" s="323" t="s">
        <v>3407</v>
      </c>
    </row>
    <row r="1297" spans="1:10" x14ac:dyDescent="0.25">
      <c r="A1297" s="321" t="s">
        <v>3221</v>
      </c>
      <c r="B1297" s="323" t="s">
        <v>0</v>
      </c>
      <c r="C1297" s="335" t="s">
        <v>238</v>
      </c>
      <c r="D1297" s="392" t="s">
        <v>2204</v>
      </c>
      <c r="E1297" s="392">
        <v>226862</v>
      </c>
      <c r="F1297" s="532" t="s">
        <v>3328</v>
      </c>
      <c r="G1297" s="578">
        <v>144.54</v>
      </c>
      <c r="H1297" s="588">
        <v>3267396</v>
      </c>
      <c r="I1297" s="588"/>
      <c r="J1297" s="323" t="s">
        <v>3327</v>
      </c>
    </row>
    <row r="1298" spans="1:10" x14ac:dyDescent="0.25">
      <c r="A1298" s="321" t="s">
        <v>3221</v>
      </c>
      <c r="B1298" s="323" t="s">
        <v>0</v>
      </c>
      <c r="C1298" s="335" t="s">
        <v>238</v>
      </c>
      <c r="D1298" s="392" t="s">
        <v>1558</v>
      </c>
      <c r="E1298" s="387">
        <v>351442</v>
      </c>
      <c r="F1298" s="532" t="s">
        <v>3232</v>
      </c>
      <c r="G1298" s="578">
        <v>31.6</v>
      </c>
      <c r="H1298" s="532">
        <v>3267905</v>
      </c>
      <c r="I1298" s="588"/>
      <c r="J1298" s="323" t="s">
        <v>3231</v>
      </c>
    </row>
    <row r="1299" spans="1:10" x14ac:dyDescent="0.25">
      <c r="A1299" s="321" t="s">
        <v>3221</v>
      </c>
      <c r="B1299" s="323" t="s">
        <v>0</v>
      </c>
      <c r="C1299" s="335" t="s">
        <v>238</v>
      </c>
      <c r="D1299" s="392" t="s">
        <v>3265</v>
      </c>
      <c r="E1299" s="387">
        <v>352382</v>
      </c>
      <c r="F1299" s="532" t="s">
        <v>3264</v>
      </c>
      <c r="G1299" s="578">
        <v>58.12</v>
      </c>
      <c r="H1299" s="532">
        <v>3268065</v>
      </c>
      <c r="I1299" s="588"/>
      <c r="J1299" s="323" t="s">
        <v>3263</v>
      </c>
    </row>
    <row r="1300" spans="1:10" x14ac:dyDescent="0.25">
      <c r="A1300" s="321" t="s">
        <v>3221</v>
      </c>
      <c r="B1300" s="323" t="s">
        <v>0</v>
      </c>
      <c r="C1300" s="335" t="s">
        <v>238</v>
      </c>
      <c r="D1300" s="392" t="s">
        <v>3298</v>
      </c>
      <c r="E1300" s="387">
        <v>350515</v>
      </c>
      <c r="F1300" s="532" t="s">
        <v>3300</v>
      </c>
      <c r="G1300" s="578">
        <v>96.95</v>
      </c>
      <c r="H1300" s="532">
        <v>3268644</v>
      </c>
      <c r="I1300" s="588"/>
      <c r="J1300" s="323" t="s">
        <v>3299</v>
      </c>
    </row>
    <row r="1301" spans="1:10" x14ac:dyDescent="0.25">
      <c r="A1301" s="321" t="s">
        <v>3221</v>
      </c>
      <c r="B1301" s="323" t="s">
        <v>0</v>
      </c>
      <c r="C1301" s="335" t="s">
        <v>238</v>
      </c>
      <c r="D1301" s="392" t="s">
        <v>3393</v>
      </c>
      <c r="E1301" s="387">
        <v>352068</v>
      </c>
      <c r="F1301" s="532" t="s">
        <v>3392</v>
      </c>
      <c r="G1301" s="578">
        <v>53.95</v>
      </c>
      <c r="H1301" s="532">
        <v>3268867</v>
      </c>
      <c r="I1301" s="588"/>
      <c r="J1301" s="323" t="s">
        <v>3391</v>
      </c>
    </row>
    <row r="1302" spans="1:10" x14ac:dyDescent="0.25">
      <c r="A1302" s="321" t="s">
        <v>3221</v>
      </c>
      <c r="B1302" s="323" t="s">
        <v>0</v>
      </c>
      <c r="C1302" s="335" t="s">
        <v>238</v>
      </c>
      <c r="D1302" s="392" t="s">
        <v>2179</v>
      </c>
      <c r="E1302" s="387">
        <v>350453</v>
      </c>
      <c r="F1302" s="532" t="s">
        <v>3319</v>
      </c>
      <c r="G1302" s="578">
        <v>90.95</v>
      </c>
      <c r="H1302" s="588">
        <v>3268882</v>
      </c>
      <c r="I1302" s="588"/>
      <c r="J1302" s="323" t="s">
        <v>3318</v>
      </c>
    </row>
    <row r="1303" spans="1:10" x14ac:dyDescent="0.25">
      <c r="A1303" s="321" t="s">
        <v>3221</v>
      </c>
      <c r="B1303" s="323" t="s">
        <v>0</v>
      </c>
      <c r="C1303" s="335" t="s">
        <v>238</v>
      </c>
      <c r="D1303" s="392" t="s">
        <v>3220</v>
      </c>
      <c r="E1303" s="387">
        <v>352057</v>
      </c>
      <c r="F1303" s="532" t="s">
        <v>3219</v>
      </c>
      <c r="G1303" s="578">
        <v>189.9</v>
      </c>
      <c r="H1303" s="532">
        <v>3270298</v>
      </c>
      <c r="I1303" s="588"/>
      <c r="J1303" s="323" t="s">
        <v>3218</v>
      </c>
    </row>
    <row r="1304" spans="1:10" x14ac:dyDescent="0.25">
      <c r="A1304" s="321" t="s">
        <v>3221</v>
      </c>
      <c r="B1304" s="323" t="s">
        <v>0</v>
      </c>
      <c r="C1304" s="335" t="s">
        <v>238</v>
      </c>
      <c r="D1304" s="392" t="s">
        <v>1366</v>
      </c>
      <c r="E1304" s="387">
        <v>201238</v>
      </c>
      <c r="F1304" s="532" t="s">
        <v>3233</v>
      </c>
      <c r="G1304" s="578">
        <v>26.9</v>
      </c>
      <c r="H1304" s="532">
        <v>3273714</v>
      </c>
      <c r="I1304" s="588"/>
      <c r="J1304" s="323" t="s">
        <v>3230</v>
      </c>
    </row>
    <row r="1305" spans="1:10" x14ac:dyDescent="0.25">
      <c r="A1305" s="321" t="s">
        <v>3221</v>
      </c>
      <c r="B1305" s="323" t="s">
        <v>0</v>
      </c>
      <c r="C1305" s="335" t="s">
        <v>238</v>
      </c>
      <c r="D1305" s="392" t="s">
        <v>2532</v>
      </c>
      <c r="E1305" s="387">
        <v>351653</v>
      </c>
      <c r="F1305" s="532" t="s">
        <v>3367</v>
      </c>
      <c r="G1305" s="578">
        <v>150.9</v>
      </c>
      <c r="H1305" s="532">
        <v>3273750</v>
      </c>
      <c r="I1305" s="588"/>
      <c r="J1305" s="323" t="s">
        <v>3366</v>
      </c>
    </row>
    <row r="1306" spans="1:10" x14ac:dyDescent="0.25">
      <c r="A1306" s="321" t="s">
        <v>3221</v>
      </c>
      <c r="B1306" s="323" t="s">
        <v>0</v>
      </c>
      <c r="D1306" s="392" t="s">
        <v>2197</v>
      </c>
      <c r="E1306" s="387">
        <v>213316</v>
      </c>
      <c r="F1306" s="532" t="s">
        <v>3353</v>
      </c>
      <c r="G1306" s="578">
        <v>109.53</v>
      </c>
      <c r="H1306" s="532">
        <v>3228195</v>
      </c>
      <c r="I1306" s="588"/>
      <c r="J1306" s="323" t="s">
        <v>3352</v>
      </c>
    </row>
    <row r="1307" spans="1:10" x14ac:dyDescent="0.25">
      <c r="A1307" s="321" t="s">
        <v>3221</v>
      </c>
      <c r="B1307" s="323" t="s">
        <v>0</v>
      </c>
      <c r="C1307" s="335"/>
      <c r="D1307" s="392">
        <v>376228630996</v>
      </c>
      <c r="E1307" s="387">
        <v>213316</v>
      </c>
      <c r="F1307" s="532" t="s">
        <v>3354</v>
      </c>
      <c r="G1307" s="578">
        <v>101.76</v>
      </c>
      <c r="H1307" s="532">
        <v>3261178</v>
      </c>
      <c r="I1307" s="588"/>
      <c r="J1307" s="323" t="s">
        <v>3352</v>
      </c>
    </row>
    <row r="1308" spans="1:10" x14ac:dyDescent="0.25">
      <c r="A1308" s="321" t="s">
        <v>3221</v>
      </c>
      <c r="B1308" s="323" t="s">
        <v>0</v>
      </c>
      <c r="C1308" s="323" t="s">
        <v>238</v>
      </c>
      <c r="D1308" s="392" t="s">
        <v>3491</v>
      </c>
      <c r="E1308" s="387">
        <v>351510</v>
      </c>
      <c r="F1308" s="594" t="s">
        <v>3498</v>
      </c>
      <c r="G1308" s="578">
        <v>55.02</v>
      </c>
      <c r="H1308" s="532">
        <v>3275627</v>
      </c>
      <c r="I1308" s="588"/>
      <c r="J1308" s="323" t="s">
        <v>4260</v>
      </c>
    </row>
    <row r="1309" spans="1:10" x14ac:dyDescent="0.25">
      <c r="A1309" s="321" t="s">
        <v>3221</v>
      </c>
      <c r="B1309" s="323" t="s">
        <v>0</v>
      </c>
      <c r="C1309" s="323" t="s">
        <v>238</v>
      </c>
      <c r="D1309" s="392" t="s">
        <v>2543</v>
      </c>
      <c r="E1309" s="387">
        <v>351872</v>
      </c>
      <c r="F1309" s="532" t="s">
        <v>3371</v>
      </c>
      <c r="G1309" s="578">
        <v>59.97</v>
      </c>
      <c r="H1309" s="532">
        <v>3275772</v>
      </c>
      <c r="I1309" s="588"/>
      <c r="J1309" s="323" t="s">
        <v>3369</v>
      </c>
    </row>
    <row r="1310" spans="1:10" x14ac:dyDescent="0.25">
      <c r="A1310" s="321" t="s">
        <v>3221</v>
      </c>
      <c r="B1310" s="323" t="s">
        <v>0</v>
      </c>
      <c r="C1310" s="323" t="s">
        <v>238</v>
      </c>
      <c r="D1310" s="392" t="s">
        <v>3426</v>
      </c>
      <c r="E1310" s="387">
        <v>352765</v>
      </c>
      <c r="F1310" s="594" t="s">
        <v>3496</v>
      </c>
      <c r="G1310" s="578">
        <v>64.95</v>
      </c>
      <c r="H1310" s="532">
        <v>3275918</v>
      </c>
      <c r="I1310" s="588"/>
      <c r="J1310" s="323" t="s">
        <v>4261</v>
      </c>
    </row>
    <row r="1311" spans="1:10" x14ac:dyDescent="0.25">
      <c r="A1311" s="321" t="s">
        <v>3221</v>
      </c>
      <c r="B1311" s="323" t="s">
        <v>0</v>
      </c>
      <c r="C1311" s="323" t="s">
        <v>238</v>
      </c>
      <c r="D1311" s="392" t="s">
        <v>3006</v>
      </c>
      <c r="E1311" s="387">
        <v>351720</v>
      </c>
      <c r="F1311" s="594" t="s">
        <v>3497</v>
      </c>
      <c r="G1311" s="578">
        <v>57.65</v>
      </c>
      <c r="H1311" s="532">
        <v>3276581</v>
      </c>
      <c r="I1311" s="588"/>
      <c r="J1311" s="323" t="s">
        <v>4262</v>
      </c>
    </row>
    <row r="1312" spans="1:10" x14ac:dyDescent="0.25">
      <c r="A1312" s="321" t="s">
        <v>3221</v>
      </c>
      <c r="B1312" s="323" t="s">
        <v>0</v>
      </c>
      <c r="C1312" s="323" t="s">
        <v>238</v>
      </c>
      <c r="D1312" s="392" t="s">
        <v>3490</v>
      </c>
      <c r="E1312" s="387">
        <v>350351</v>
      </c>
      <c r="F1312" s="594" t="s">
        <v>3492</v>
      </c>
      <c r="G1312" s="578">
        <v>51.9</v>
      </c>
      <c r="H1312" s="532">
        <v>3278875</v>
      </c>
      <c r="I1312" s="588"/>
      <c r="J1312" s="323" t="s">
        <v>4263</v>
      </c>
    </row>
    <row r="1313" spans="1:10" x14ac:dyDescent="0.25">
      <c r="A1313" s="321" t="s">
        <v>3221</v>
      </c>
      <c r="B1313" s="323" t="s">
        <v>0</v>
      </c>
      <c r="C1313" s="323" t="s">
        <v>3562</v>
      </c>
      <c r="D1313" s="392" t="s">
        <v>3243</v>
      </c>
      <c r="E1313" s="387">
        <v>353025</v>
      </c>
      <c r="F1313" s="532"/>
      <c r="G1313" s="578">
        <v>41.95</v>
      </c>
      <c r="H1313" s="532"/>
      <c r="I1313" s="588"/>
      <c r="J1313" s="323" t="s">
        <v>4825</v>
      </c>
    </row>
    <row r="1314" spans="1:10" x14ac:dyDescent="0.25">
      <c r="A1314" s="321" t="s">
        <v>3221</v>
      </c>
      <c r="B1314" s="323" t="s">
        <v>0</v>
      </c>
      <c r="D1314" s="392" t="s">
        <v>3282</v>
      </c>
      <c r="E1314" s="387">
        <v>350371</v>
      </c>
      <c r="F1314" s="532"/>
      <c r="G1314" s="578">
        <v>69.900000000000006</v>
      </c>
      <c r="H1314" s="532"/>
      <c r="J1314" s="323" t="s">
        <v>3280</v>
      </c>
    </row>
    <row r="1315" spans="1:10" x14ac:dyDescent="0.25">
      <c r="A1315" s="321">
        <v>42898</v>
      </c>
      <c r="B1315" s="323" t="s">
        <v>127</v>
      </c>
      <c r="D1315" s="392" t="s">
        <v>181</v>
      </c>
      <c r="E1315" s="387">
        <v>351215</v>
      </c>
      <c r="F1315" s="594" t="s">
        <v>3499</v>
      </c>
      <c r="G1315" s="578">
        <v>58.61</v>
      </c>
      <c r="H1315" s="532">
        <v>3228518</v>
      </c>
      <c r="J1315" s="323" t="s">
        <v>2573</v>
      </c>
    </row>
    <row r="1316" spans="1:10" x14ac:dyDescent="0.25">
      <c r="A1316" s="321">
        <v>42898</v>
      </c>
      <c r="B1316" s="323" t="s">
        <v>127</v>
      </c>
      <c r="D1316" s="392" t="s">
        <v>181</v>
      </c>
      <c r="E1316" s="387">
        <v>351215</v>
      </c>
      <c r="F1316" s="594" t="s">
        <v>3500</v>
      </c>
      <c r="G1316" s="578">
        <v>354</v>
      </c>
      <c r="H1316" s="532">
        <v>3230110</v>
      </c>
      <c r="J1316" s="323" t="s">
        <v>2573</v>
      </c>
    </row>
    <row r="1317" spans="1:10" x14ac:dyDescent="0.25">
      <c r="A1317" s="321">
        <v>42902</v>
      </c>
      <c r="B1317" s="323" t="s">
        <v>127</v>
      </c>
      <c r="D1317" s="392" t="s">
        <v>181</v>
      </c>
      <c r="E1317" s="387">
        <v>351215</v>
      </c>
      <c r="F1317" s="594" t="s">
        <v>3501</v>
      </c>
      <c r="G1317" s="578">
        <v>121.27</v>
      </c>
      <c r="H1317" s="532">
        <v>3272954</v>
      </c>
      <c r="J1317" s="323" t="s">
        <v>2573</v>
      </c>
    </row>
    <row r="1318" spans="1:10" x14ac:dyDescent="0.25">
      <c r="A1318" s="321">
        <v>42902</v>
      </c>
      <c r="B1318" s="323" t="s">
        <v>127</v>
      </c>
      <c r="D1318" s="392" t="s">
        <v>181</v>
      </c>
      <c r="E1318" s="387">
        <v>351215</v>
      </c>
      <c r="F1318" s="594" t="s">
        <v>3502</v>
      </c>
      <c r="G1318" s="578">
        <v>109</v>
      </c>
      <c r="H1318" s="532">
        <v>3265694</v>
      </c>
      <c r="J1318" s="323" t="s">
        <v>2573</v>
      </c>
    </row>
    <row r="1319" spans="1:10" x14ac:dyDescent="0.25">
      <c r="A1319" s="321" t="s">
        <v>3417</v>
      </c>
      <c r="B1319" s="323" t="s">
        <v>0</v>
      </c>
      <c r="C1319" s="323" t="s">
        <v>238</v>
      </c>
      <c r="D1319" s="392" t="s">
        <v>3420</v>
      </c>
      <c r="E1319" s="387">
        <v>352299</v>
      </c>
      <c r="F1319" s="594" t="s">
        <v>3504</v>
      </c>
      <c r="G1319" s="578">
        <v>8.6999999999999993</v>
      </c>
      <c r="H1319" s="594">
        <v>3285328</v>
      </c>
      <c r="I1319" s="597"/>
      <c r="J1319" s="323" t="s">
        <v>3419</v>
      </c>
    </row>
    <row r="1320" spans="1:10" x14ac:dyDescent="0.25">
      <c r="A1320" s="321" t="s">
        <v>3417</v>
      </c>
      <c r="B1320" s="323" t="s">
        <v>0</v>
      </c>
      <c r="C1320" s="323" t="s">
        <v>3562</v>
      </c>
      <c r="D1320" s="392" t="s">
        <v>1274</v>
      </c>
      <c r="E1320" s="387">
        <v>350396</v>
      </c>
      <c r="F1320" s="594" t="s">
        <v>3519</v>
      </c>
      <c r="G1320" s="578">
        <v>11.7</v>
      </c>
      <c r="H1320" s="594">
        <v>3292345</v>
      </c>
      <c r="J1320" s="323" t="s">
        <v>3437</v>
      </c>
    </row>
    <row r="1321" spans="1:10" x14ac:dyDescent="0.25">
      <c r="A1321" s="321" t="s">
        <v>3417</v>
      </c>
      <c r="B1321" s="323" t="s">
        <v>0</v>
      </c>
      <c r="C1321" s="323" t="s">
        <v>238</v>
      </c>
      <c r="D1321" s="392" t="s">
        <v>2108</v>
      </c>
      <c r="E1321" s="387">
        <v>350497</v>
      </c>
      <c r="F1321" s="594" t="s">
        <v>3513</v>
      </c>
      <c r="G1321" s="578">
        <v>15.95</v>
      </c>
      <c r="H1321" s="594">
        <v>3304210</v>
      </c>
      <c r="J1321" s="323" t="s">
        <v>3429</v>
      </c>
    </row>
    <row r="1322" spans="1:10" x14ac:dyDescent="0.25">
      <c r="A1322" s="321" t="s">
        <v>3417</v>
      </c>
      <c r="B1322" s="323" t="s">
        <v>0</v>
      </c>
      <c r="C1322" s="323" t="s">
        <v>238</v>
      </c>
      <c r="D1322" s="392" t="s">
        <v>3471</v>
      </c>
      <c r="E1322" s="387">
        <v>352831</v>
      </c>
      <c r="F1322" s="594" t="s">
        <v>3540</v>
      </c>
      <c r="G1322" s="578">
        <v>25.19</v>
      </c>
      <c r="H1322" s="594">
        <v>3302051</v>
      </c>
      <c r="I1322" s="597"/>
      <c r="J1322" s="323" t="s">
        <v>3473</v>
      </c>
    </row>
    <row r="1323" spans="1:10" x14ac:dyDescent="0.25">
      <c r="A1323" s="321" t="s">
        <v>3417</v>
      </c>
      <c r="B1323" s="323" t="s">
        <v>0</v>
      </c>
      <c r="C1323" s="323" t="s">
        <v>238</v>
      </c>
      <c r="D1323" s="392" t="s">
        <v>2860</v>
      </c>
      <c r="E1323" s="387">
        <v>353601</v>
      </c>
      <c r="F1323" s="532" t="s">
        <v>3441</v>
      </c>
      <c r="G1323" s="578">
        <v>38</v>
      </c>
      <c r="H1323" s="532">
        <v>3288488</v>
      </c>
      <c r="I1323" s="588"/>
      <c r="J1323" s="323" t="s">
        <v>2374</v>
      </c>
    </row>
    <row r="1324" spans="1:10" x14ac:dyDescent="0.25">
      <c r="A1324" s="321" t="s">
        <v>3417</v>
      </c>
      <c r="B1324" s="323" t="s">
        <v>0</v>
      </c>
      <c r="C1324" s="323" t="s">
        <v>238</v>
      </c>
      <c r="D1324" s="392" t="s">
        <v>3447</v>
      </c>
      <c r="E1324" s="387">
        <v>350625</v>
      </c>
      <c r="F1324" s="594" t="s">
        <v>3523</v>
      </c>
      <c r="G1324" s="578">
        <v>41.9</v>
      </c>
      <c r="H1324" s="594">
        <v>3294391</v>
      </c>
      <c r="I1324" s="597"/>
      <c r="J1324" s="323" t="s">
        <v>3442</v>
      </c>
    </row>
    <row r="1325" spans="1:10" x14ac:dyDescent="0.25">
      <c r="A1325" s="321" t="s">
        <v>3417</v>
      </c>
      <c r="B1325" s="323" t="s">
        <v>0</v>
      </c>
      <c r="C1325" s="323" t="s">
        <v>238</v>
      </c>
      <c r="D1325" s="392" t="s">
        <v>96</v>
      </c>
      <c r="E1325" s="387">
        <v>350361</v>
      </c>
      <c r="F1325" s="594" t="s">
        <v>3523</v>
      </c>
      <c r="G1325" s="578">
        <v>45.96</v>
      </c>
      <c r="H1325" s="594">
        <v>3294391</v>
      </c>
      <c r="I1325" s="597"/>
      <c r="J1325" s="323" t="s">
        <v>3443</v>
      </c>
    </row>
    <row r="1326" spans="1:10" x14ac:dyDescent="0.25">
      <c r="A1326" s="321" t="s">
        <v>3417</v>
      </c>
      <c r="B1326" s="323" t="s">
        <v>0</v>
      </c>
      <c r="C1326" s="323" t="s">
        <v>2831</v>
      </c>
      <c r="D1326" s="392" t="s">
        <v>3448</v>
      </c>
      <c r="E1326" s="387">
        <v>352510</v>
      </c>
      <c r="F1326" s="594" t="s">
        <v>3776</v>
      </c>
      <c r="G1326" s="578">
        <v>46.57</v>
      </c>
      <c r="H1326" s="594">
        <v>3305368</v>
      </c>
      <c r="J1326" s="323" t="s">
        <v>3444</v>
      </c>
    </row>
    <row r="1327" spans="1:10" x14ac:dyDescent="0.25">
      <c r="A1327" s="321" t="s">
        <v>3417</v>
      </c>
      <c r="B1327" s="323" t="s">
        <v>0</v>
      </c>
      <c r="C1327" s="323" t="s">
        <v>238</v>
      </c>
      <c r="D1327" s="392" t="s">
        <v>2385</v>
      </c>
      <c r="E1327" s="387">
        <v>350335</v>
      </c>
      <c r="F1327" s="594" t="s">
        <v>3524</v>
      </c>
      <c r="G1327" s="578">
        <v>47.36</v>
      </c>
      <c r="H1327" s="594">
        <v>3290242</v>
      </c>
      <c r="I1327" s="597"/>
      <c r="J1327" s="323" t="s">
        <v>3445</v>
      </c>
    </row>
    <row r="1328" spans="1:10" x14ac:dyDescent="0.25">
      <c r="A1328" s="321" t="s">
        <v>3417</v>
      </c>
      <c r="B1328" s="323" t="s">
        <v>0</v>
      </c>
      <c r="C1328" s="323" t="s">
        <v>238</v>
      </c>
      <c r="D1328" s="392" t="s">
        <v>1398</v>
      </c>
      <c r="E1328" s="387">
        <v>214579</v>
      </c>
      <c r="F1328" s="594" t="s">
        <v>3525</v>
      </c>
      <c r="G1328" s="578">
        <v>49.26</v>
      </c>
      <c r="H1328" s="594">
        <v>3285171</v>
      </c>
      <c r="I1328" s="597"/>
      <c r="J1328" s="323" t="s">
        <v>3446</v>
      </c>
    </row>
    <row r="1329" spans="1:10" x14ac:dyDescent="0.25">
      <c r="A1329" s="321" t="s">
        <v>3417</v>
      </c>
      <c r="B1329" s="323" t="s">
        <v>0</v>
      </c>
      <c r="C1329" s="323" t="s">
        <v>238</v>
      </c>
      <c r="D1329" s="392" t="s">
        <v>2926</v>
      </c>
      <c r="E1329" s="387">
        <v>219070</v>
      </c>
      <c r="F1329" s="594" t="s">
        <v>3537</v>
      </c>
      <c r="G1329" s="578">
        <f>49.95</f>
        <v>49.95</v>
      </c>
      <c r="H1329" s="594">
        <v>3286631</v>
      </c>
      <c r="I1329" s="597"/>
      <c r="J1329" s="323" t="s">
        <v>3467</v>
      </c>
    </row>
    <row r="1330" spans="1:10" x14ac:dyDescent="0.25">
      <c r="A1330" s="321" t="s">
        <v>3417</v>
      </c>
      <c r="B1330" s="323" t="s">
        <v>0</v>
      </c>
      <c r="C1330" s="323" t="s">
        <v>2689</v>
      </c>
      <c r="D1330" s="392" t="s">
        <v>1779</v>
      </c>
      <c r="E1330" s="387">
        <v>352748</v>
      </c>
      <c r="F1330" s="594" t="s">
        <v>3526</v>
      </c>
      <c r="G1330" s="578">
        <v>52.95</v>
      </c>
      <c r="H1330" s="594">
        <v>3288803</v>
      </c>
      <c r="J1330" s="323" t="s">
        <v>3449</v>
      </c>
    </row>
    <row r="1331" spans="1:10" x14ac:dyDescent="0.25">
      <c r="A1331" s="321" t="s">
        <v>3417</v>
      </c>
      <c r="B1331" s="323" t="s">
        <v>0</v>
      </c>
      <c r="C1331" s="323" t="s">
        <v>238</v>
      </c>
      <c r="D1331" s="392" t="s">
        <v>2926</v>
      </c>
      <c r="E1331" s="387">
        <v>219070</v>
      </c>
      <c r="F1331" s="594" t="s">
        <v>3536</v>
      </c>
      <c r="G1331" s="578">
        <v>56.4</v>
      </c>
      <c r="H1331" s="594">
        <v>3304729</v>
      </c>
      <c r="J1331" s="323" t="s">
        <v>3467</v>
      </c>
    </row>
    <row r="1332" spans="1:10" x14ac:dyDescent="0.25">
      <c r="A1332" s="321" t="s">
        <v>3417</v>
      </c>
      <c r="B1332" s="323" t="s">
        <v>0</v>
      </c>
      <c r="C1332" s="323" t="s">
        <v>238</v>
      </c>
      <c r="D1332" s="392" t="s">
        <v>3453</v>
      </c>
      <c r="E1332" s="387">
        <v>870</v>
      </c>
      <c r="F1332" s="594" t="s">
        <v>3527</v>
      </c>
      <c r="G1332" s="578">
        <v>58.25</v>
      </c>
      <c r="H1332" s="594">
        <v>3274394</v>
      </c>
      <c r="I1332" s="597"/>
      <c r="J1332" s="323" t="s">
        <v>3450</v>
      </c>
    </row>
    <row r="1333" spans="1:10" x14ac:dyDescent="0.25">
      <c r="A1333" s="321" t="s">
        <v>3417</v>
      </c>
      <c r="B1333" s="323" t="s">
        <v>0</v>
      </c>
      <c r="C1333" s="323" t="s">
        <v>238</v>
      </c>
      <c r="D1333" s="392" t="s">
        <v>3270</v>
      </c>
      <c r="E1333" s="387">
        <v>351476</v>
      </c>
      <c r="F1333" s="594" t="s">
        <v>3543</v>
      </c>
      <c r="G1333" s="578">
        <v>59.1</v>
      </c>
      <c r="H1333" s="594">
        <v>3300419</v>
      </c>
      <c r="I1333" s="597"/>
      <c r="J1333" s="323" t="s">
        <v>3475</v>
      </c>
    </row>
    <row r="1334" spans="1:10" x14ac:dyDescent="0.25">
      <c r="A1334" s="321" t="s">
        <v>3417</v>
      </c>
      <c r="B1334" s="323" t="s">
        <v>0</v>
      </c>
      <c r="C1334" s="323" t="s">
        <v>238</v>
      </c>
      <c r="D1334" s="392" t="s">
        <v>1553</v>
      </c>
      <c r="E1334" s="387">
        <v>352456</v>
      </c>
      <c r="F1334" s="594" t="s">
        <v>3528</v>
      </c>
      <c r="G1334" s="578">
        <v>64.7</v>
      </c>
      <c r="H1334" s="594">
        <v>3262008</v>
      </c>
      <c r="J1334" s="323" t="s">
        <v>3451</v>
      </c>
    </row>
    <row r="1335" spans="1:10" x14ac:dyDescent="0.25">
      <c r="A1335" s="321" t="s">
        <v>3417</v>
      </c>
      <c r="B1335" s="323" t="s">
        <v>0</v>
      </c>
      <c r="C1335" s="323" t="s">
        <v>238</v>
      </c>
      <c r="D1335" s="392" t="s">
        <v>181</v>
      </c>
      <c r="E1335" s="387">
        <v>351215</v>
      </c>
      <c r="F1335" s="594" t="s">
        <v>3509</v>
      </c>
      <c r="G1335" s="578">
        <v>67</v>
      </c>
      <c r="H1335" s="594">
        <v>3286884</v>
      </c>
      <c r="I1335" s="597"/>
      <c r="J1335" s="323" t="s">
        <v>3425</v>
      </c>
    </row>
    <row r="1336" spans="1:10" x14ac:dyDescent="0.25">
      <c r="A1336" s="321" t="s">
        <v>3417</v>
      </c>
      <c r="B1336" s="323" t="s">
        <v>0</v>
      </c>
      <c r="C1336" s="323" t="s">
        <v>2831</v>
      </c>
      <c r="D1336" s="392" t="s">
        <v>201</v>
      </c>
      <c r="E1336" s="387">
        <v>350462</v>
      </c>
      <c r="F1336" s="594" t="s">
        <v>3506</v>
      </c>
      <c r="G1336" s="578">
        <v>71.95</v>
      </c>
      <c r="H1336" s="594">
        <v>3291919</v>
      </c>
      <c r="J1336" s="323" t="s">
        <v>3422</v>
      </c>
    </row>
    <row r="1337" spans="1:10" x14ac:dyDescent="0.25">
      <c r="A1337" s="321" t="s">
        <v>3417</v>
      </c>
      <c r="B1337" s="323" t="s">
        <v>0</v>
      </c>
      <c r="C1337" s="323" t="s">
        <v>2831</v>
      </c>
      <c r="D1337" s="392" t="s">
        <v>3463</v>
      </c>
      <c r="E1337" s="387">
        <v>353864</v>
      </c>
      <c r="F1337" s="532"/>
      <c r="G1337" s="578">
        <v>79.95</v>
      </c>
      <c r="H1337" s="532"/>
      <c r="J1337" s="323" t="s">
        <v>2374</v>
      </c>
    </row>
    <row r="1338" spans="1:10" x14ac:dyDescent="0.25">
      <c r="A1338" s="321" t="s">
        <v>3417</v>
      </c>
      <c r="B1338" s="323" t="s">
        <v>0</v>
      </c>
      <c r="C1338" s="323" t="s">
        <v>238</v>
      </c>
      <c r="D1338" s="392" t="s">
        <v>3459</v>
      </c>
      <c r="E1338" s="387">
        <v>220726</v>
      </c>
      <c r="F1338" s="594" t="s">
        <v>3531</v>
      </c>
      <c r="G1338" s="578">
        <v>84.89</v>
      </c>
      <c r="H1338" s="594">
        <v>3283304</v>
      </c>
      <c r="I1338" s="597"/>
      <c r="J1338" s="323" t="s">
        <v>3457</v>
      </c>
    </row>
    <row r="1339" spans="1:10" x14ac:dyDescent="0.25">
      <c r="A1339" s="321" t="s">
        <v>3417</v>
      </c>
      <c r="B1339" s="323" t="s">
        <v>0</v>
      </c>
      <c r="C1339" s="323" t="s">
        <v>238</v>
      </c>
      <c r="D1339" s="392" t="s">
        <v>3460</v>
      </c>
      <c r="E1339" s="387">
        <v>351428</v>
      </c>
      <c r="F1339" s="594" t="s">
        <v>3532</v>
      </c>
      <c r="G1339" s="578">
        <v>84.9</v>
      </c>
      <c r="H1339" s="594">
        <v>3299147</v>
      </c>
      <c r="I1339" s="597"/>
      <c r="J1339" s="323" t="s">
        <v>3458</v>
      </c>
    </row>
    <row r="1340" spans="1:10" x14ac:dyDescent="0.25">
      <c r="A1340" s="321" t="s">
        <v>3417</v>
      </c>
      <c r="B1340" s="323" t="s">
        <v>0</v>
      </c>
      <c r="C1340" s="323" t="s">
        <v>238</v>
      </c>
      <c r="D1340" s="392" t="s">
        <v>3431</v>
      </c>
      <c r="E1340" s="387">
        <v>225968</v>
      </c>
      <c r="F1340" s="594" t="s">
        <v>3515</v>
      </c>
      <c r="G1340" s="578">
        <v>91.15</v>
      </c>
      <c r="H1340" s="594">
        <v>3279040</v>
      </c>
      <c r="I1340" s="597"/>
      <c r="J1340" s="323" t="s">
        <v>3432</v>
      </c>
    </row>
    <row r="1341" spans="1:10" x14ac:dyDescent="0.25">
      <c r="A1341" s="321" t="s">
        <v>3417</v>
      </c>
      <c r="B1341" s="323" t="s">
        <v>0</v>
      </c>
      <c r="C1341" s="323" t="s">
        <v>238</v>
      </c>
      <c r="D1341" s="392" t="s">
        <v>3471</v>
      </c>
      <c r="E1341" s="387">
        <v>352831</v>
      </c>
      <c r="F1341" s="594" t="s">
        <v>3541</v>
      </c>
      <c r="G1341" s="578">
        <v>91.65</v>
      </c>
      <c r="H1341" s="594">
        <v>3303077</v>
      </c>
      <c r="I1341" s="597"/>
      <c r="J1341" s="323" t="s">
        <v>3473</v>
      </c>
    </row>
    <row r="1342" spans="1:10" x14ac:dyDescent="0.25">
      <c r="A1342" s="321" t="s">
        <v>3417</v>
      </c>
      <c r="B1342" s="323" t="s">
        <v>0</v>
      </c>
      <c r="C1342" s="323" t="s">
        <v>238</v>
      </c>
      <c r="D1342" s="392" t="s">
        <v>3270</v>
      </c>
      <c r="E1342" s="387">
        <v>351476</v>
      </c>
      <c r="F1342" s="594" t="s">
        <v>3544</v>
      </c>
      <c r="G1342" s="578">
        <v>92.95</v>
      </c>
      <c r="H1342" s="594">
        <v>3289073</v>
      </c>
      <c r="I1342" s="597"/>
      <c r="J1342" s="323" t="s">
        <v>3475</v>
      </c>
    </row>
    <row r="1343" spans="1:10" x14ac:dyDescent="0.25">
      <c r="A1343" s="321" t="s">
        <v>3417</v>
      </c>
      <c r="B1343" s="323" t="s">
        <v>0</v>
      </c>
      <c r="C1343" s="323" t="s">
        <v>238</v>
      </c>
      <c r="D1343" s="392" t="s">
        <v>3464</v>
      </c>
      <c r="E1343" s="387">
        <v>352920</v>
      </c>
      <c r="F1343" s="532"/>
      <c r="G1343" s="578">
        <v>96.3</v>
      </c>
      <c r="H1343" s="532"/>
      <c r="I1343" s="588"/>
      <c r="J1343" s="323" t="s">
        <v>2374</v>
      </c>
    </row>
    <row r="1344" spans="1:10" x14ac:dyDescent="0.25">
      <c r="A1344" s="321" t="s">
        <v>3417</v>
      </c>
      <c r="B1344" s="323" t="s">
        <v>0</v>
      </c>
      <c r="C1344" s="323" t="s">
        <v>238</v>
      </c>
      <c r="D1344" s="392" t="s">
        <v>3469</v>
      </c>
      <c r="E1344" s="387">
        <v>351347</v>
      </c>
      <c r="F1344" s="594" t="s">
        <v>3534</v>
      </c>
      <c r="G1344" s="578">
        <v>97.37</v>
      </c>
      <c r="H1344" s="594">
        <v>3293156</v>
      </c>
      <c r="I1344" s="597"/>
      <c r="J1344" s="323" t="s">
        <v>3465</v>
      </c>
    </row>
    <row r="1345" spans="1:10" x14ac:dyDescent="0.25">
      <c r="A1345" s="321" t="s">
        <v>3417</v>
      </c>
      <c r="B1345" s="323" t="s">
        <v>0</v>
      </c>
      <c r="C1345" s="323" t="s">
        <v>238</v>
      </c>
      <c r="D1345" s="392" t="s">
        <v>106</v>
      </c>
      <c r="E1345" s="387">
        <v>350557</v>
      </c>
      <c r="F1345" s="594" t="s">
        <v>3505</v>
      </c>
      <c r="G1345" s="578">
        <v>104.95</v>
      </c>
      <c r="H1345" s="594">
        <v>3286889</v>
      </c>
      <c r="I1345" s="597"/>
      <c r="J1345" s="323" t="s">
        <v>3421</v>
      </c>
    </row>
    <row r="1346" spans="1:10" x14ac:dyDescent="0.25">
      <c r="A1346" s="321" t="s">
        <v>3417</v>
      </c>
      <c r="B1346" s="323" t="s">
        <v>0</v>
      </c>
      <c r="C1346" s="323" t="s">
        <v>238</v>
      </c>
      <c r="D1346" s="392" t="s">
        <v>3043</v>
      </c>
      <c r="E1346" s="387">
        <v>352233</v>
      </c>
      <c r="F1346" s="594" t="s">
        <v>3514</v>
      </c>
      <c r="G1346" s="578">
        <v>105.88</v>
      </c>
      <c r="H1346" s="594">
        <v>3287977</v>
      </c>
      <c r="I1346" s="597"/>
      <c r="J1346" s="323" t="s">
        <v>3430</v>
      </c>
    </row>
    <row r="1347" spans="1:10" x14ac:dyDescent="0.25">
      <c r="A1347" s="321" t="s">
        <v>3417</v>
      </c>
      <c r="B1347" s="323" t="s">
        <v>0</v>
      </c>
      <c r="C1347" s="323" t="s">
        <v>2689</v>
      </c>
      <c r="D1347" s="392" t="s">
        <v>3455</v>
      </c>
      <c r="E1347" s="387">
        <v>351461</v>
      </c>
      <c r="F1347" s="594" t="s">
        <v>3530</v>
      </c>
      <c r="G1347" s="578">
        <v>106.2</v>
      </c>
      <c r="H1347" s="594">
        <v>3290561</v>
      </c>
      <c r="J1347" s="323" t="s">
        <v>3456</v>
      </c>
    </row>
    <row r="1348" spans="1:10" x14ac:dyDescent="0.25">
      <c r="A1348" s="321" t="s">
        <v>3417</v>
      </c>
      <c r="B1348" s="323" t="s">
        <v>0</v>
      </c>
      <c r="C1348" s="323" t="s">
        <v>238</v>
      </c>
      <c r="D1348" s="392" t="s">
        <v>3074</v>
      </c>
      <c r="E1348" s="387">
        <v>225933</v>
      </c>
      <c r="F1348" s="594" t="s">
        <v>3538</v>
      </c>
      <c r="G1348" s="578">
        <v>108.96</v>
      </c>
      <c r="H1348" s="594">
        <v>3292805</v>
      </c>
      <c r="I1348" s="597"/>
      <c r="J1348" s="323" t="s">
        <v>3468</v>
      </c>
    </row>
    <row r="1349" spans="1:10" x14ac:dyDescent="0.25">
      <c r="A1349" s="321" t="s">
        <v>3417</v>
      </c>
      <c r="B1349" s="323" t="s">
        <v>0</v>
      </c>
      <c r="C1349" s="323" t="s">
        <v>238</v>
      </c>
      <c r="D1349" s="392" t="s">
        <v>181</v>
      </c>
      <c r="E1349" s="387">
        <v>351215</v>
      </c>
      <c r="F1349" s="594" t="s">
        <v>3510</v>
      </c>
      <c r="G1349" s="578">
        <v>109.78</v>
      </c>
      <c r="H1349" s="594">
        <v>3298316</v>
      </c>
      <c r="I1349" s="597"/>
      <c r="J1349" s="323" t="s">
        <v>3425</v>
      </c>
    </row>
    <row r="1350" spans="1:10" x14ac:dyDescent="0.25">
      <c r="A1350" s="321" t="s">
        <v>3417</v>
      </c>
      <c r="B1350" s="323" t="s">
        <v>0</v>
      </c>
      <c r="C1350" s="323" t="s">
        <v>238</v>
      </c>
      <c r="D1350" s="392" t="s">
        <v>3470</v>
      </c>
      <c r="E1350" s="387">
        <v>351696</v>
      </c>
      <c r="F1350" s="594" t="s">
        <v>3539</v>
      </c>
      <c r="G1350" s="578">
        <v>114.61</v>
      </c>
      <c r="H1350" s="594">
        <v>3294392</v>
      </c>
      <c r="I1350" s="594"/>
      <c r="J1350" s="323" t="s">
        <v>3472</v>
      </c>
    </row>
    <row r="1351" spans="1:10" x14ac:dyDescent="0.25">
      <c r="A1351" s="321" t="s">
        <v>3417</v>
      </c>
      <c r="B1351" s="323" t="s">
        <v>0</v>
      </c>
      <c r="C1351" s="323" t="s">
        <v>238</v>
      </c>
      <c r="D1351" s="392" t="s">
        <v>3424</v>
      </c>
      <c r="E1351" s="387">
        <v>350618</v>
      </c>
      <c r="F1351" s="594" t="s">
        <v>3507</v>
      </c>
      <c r="G1351" s="578">
        <v>119.95</v>
      </c>
      <c r="H1351" s="594">
        <v>3281446</v>
      </c>
      <c r="I1351" s="597"/>
      <c r="J1351" s="323" t="s">
        <v>3423</v>
      </c>
    </row>
    <row r="1352" spans="1:10" x14ac:dyDescent="0.25">
      <c r="A1352" s="321" t="s">
        <v>3417</v>
      </c>
      <c r="B1352" s="323" t="s">
        <v>0</v>
      </c>
      <c r="C1352" s="323" t="s">
        <v>238</v>
      </c>
      <c r="D1352" s="392" t="s">
        <v>77</v>
      </c>
      <c r="E1352" s="387">
        <v>351085</v>
      </c>
      <c r="F1352" s="594" t="s">
        <v>3520</v>
      </c>
      <c r="G1352" s="578">
        <v>124.91</v>
      </c>
      <c r="H1352" s="594">
        <v>3298874</v>
      </c>
      <c r="I1352" s="597"/>
      <c r="J1352" s="323" t="s">
        <v>3438</v>
      </c>
    </row>
    <row r="1353" spans="1:10" x14ac:dyDescent="0.25">
      <c r="A1353" s="321" t="s">
        <v>3417</v>
      </c>
      <c r="B1353" s="323" t="s">
        <v>0</v>
      </c>
      <c r="C1353" s="323" t="s">
        <v>238</v>
      </c>
      <c r="D1353" s="392" t="s">
        <v>2922</v>
      </c>
      <c r="E1353" s="387">
        <v>352210</v>
      </c>
      <c r="F1353" s="594" t="s">
        <v>3503</v>
      </c>
      <c r="G1353" s="578">
        <v>127.46</v>
      </c>
      <c r="H1353" s="594">
        <v>3291582</v>
      </c>
      <c r="I1353" s="597"/>
      <c r="J1353" s="323" t="s">
        <v>3418</v>
      </c>
    </row>
    <row r="1354" spans="1:10" x14ac:dyDescent="0.25">
      <c r="A1354" s="321" t="s">
        <v>3417</v>
      </c>
      <c r="B1354" s="323" t="s">
        <v>0</v>
      </c>
      <c r="C1354" s="323" t="s">
        <v>238</v>
      </c>
      <c r="D1354" s="392" t="s">
        <v>452</v>
      </c>
      <c r="E1354" s="387">
        <v>226215</v>
      </c>
      <c r="F1354" s="594" t="s">
        <v>3542</v>
      </c>
      <c r="G1354" s="578">
        <v>130.94999999999999</v>
      </c>
      <c r="H1354" s="594">
        <v>3282416</v>
      </c>
      <c r="I1354" s="597"/>
      <c r="J1354" s="323" t="s">
        <v>3474</v>
      </c>
    </row>
    <row r="1355" spans="1:10" x14ac:dyDescent="0.25">
      <c r="A1355" s="321" t="s">
        <v>3417</v>
      </c>
      <c r="B1355" s="323" t="s">
        <v>0</v>
      </c>
      <c r="C1355" s="323" t="s">
        <v>238</v>
      </c>
      <c r="D1355" s="392" t="s">
        <v>2861</v>
      </c>
      <c r="E1355" s="387">
        <v>351644</v>
      </c>
      <c r="F1355" s="594" t="s">
        <v>3535</v>
      </c>
      <c r="G1355" s="578">
        <v>133.78</v>
      </c>
      <c r="H1355" s="594">
        <v>3288440</v>
      </c>
      <c r="I1355" s="597"/>
      <c r="J1355" s="323" t="s">
        <v>3466</v>
      </c>
    </row>
    <row r="1356" spans="1:10" x14ac:dyDescent="0.25">
      <c r="A1356" s="321" t="s">
        <v>3417</v>
      </c>
      <c r="B1356" s="323" t="s">
        <v>0</v>
      </c>
      <c r="C1356" s="323" t="s">
        <v>238</v>
      </c>
      <c r="D1356" s="392" t="s">
        <v>1421</v>
      </c>
      <c r="E1356" s="387">
        <v>351325</v>
      </c>
      <c r="F1356" s="594" t="s">
        <v>3516</v>
      </c>
      <c r="G1356" s="578">
        <v>134.94999999999999</v>
      </c>
      <c r="H1356" s="594">
        <v>3276013</v>
      </c>
      <c r="I1356" s="597"/>
      <c r="J1356" s="323" t="s">
        <v>3433</v>
      </c>
    </row>
    <row r="1357" spans="1:10" x14ac:dyDescent="0.25">
      <c r="A1357" s="321" t="s">
        <v>3417</v>
      </c>
      <c r="B1357" s="323" t="s">
        <v>0</v>
      </c>
      <c r="C1357" s="323" t="s">
        <v>238</v>
      </c>
      <c r="D1357" s="392" t="s">
        <v>2165</v>
      </c>
      <c r="E1357" s="387">
        <v>350431</v>
      </c>
      <c r="F1357" s="594" t="s">
        <v>3511</v>
      </c>
      <c r="G1357" s="578">
        <v>135.88999999999999</v>
      </c>
      <c r="H1357" s="594">
        <v>3261295</v>
      </c>
      <c r="J1357" s="323" t="s">
        <v>3427</v>
      </c>
    </row>
    <row r="1358" spans="1:10" x14ac:dyDescent="0.25">
      <c r="A1358" s="321" t="s">
        <v>3417</v>
      </c>
      <c r="B1358" s="323" t="s">
        <v>0</v>
      </c>
      <c r="C1358" s="323" t="s">
        <v>238</v>
      </c>
      <c r="D1358" s="392" t="s">
        <v>195</v>
      </c>
      <c r="E1358" s="387">
        <v>352746</v>
      </c>
      <c r="F1358" s="594" t="s">
        <v>3518</v>
      </c>
      <c r="G1358" s="578">
        <v>141.74</v>
      </c>
      <c r="H1358" s="594" t="s">
        <v>3556</v>
      </c>
      <c r="J1358" s="323" t="s">
        <v>3436</v>
      </c>
    </row>
    <row r="1359" spans="1:10" x14ac:dyDescent="0.25">
      <c r="A1359" s="321" t="s">
        <v>3417</v>
      </c>
      <c r="B1359" s="323" t="s">
        <v>0</v>
      </c>
      <c r="C1359" s="323" t="s">
        <v>238</v>
      </c>
      <c r="D1359" s="392" t="s">
        <v>1781</v>
      </c>
      <c r="E1359" s="387">
        <v>891</v>
      </c>
      <c r="F1359" s="594" t="s">
        <v>3545</v>
      </c>
      <c r="G1359" s="578">
        <v>153.9</v>
      </c>
      <c r="H1359" s="594">
        <v>3288223</v>
      </c>
      <c r="I1359" s="597"/>
      <c r="J1359" s="323" t="s">
        <v>3476</v>
      </c>
    </row>
    <row r="1360" spans="1:10" x14ac:dyDescent="0.25">
      <c r="A1360" s="321" t="s">
        <v>3417</v>
      </c>
      <c r="B1360" s="323" t="s">
        <v>0</v>
      </c>
      <c r="C1360" s="323" t="s">
        <v>238</v>
      </c>
      <c r="D1360" s="392" t="s">
        <v>2957</v>
      </c>
      <c r="E1360" s="387">
        <v>351562</v>
      </c>
      <c r="F1360" s="594" t="s">
        <v>3512</v>
      </c>
      <c r="G1360" s="578">
        <v>175.26</v>
      </c>
      <c r="H1360" s="594">
        <v>3302696</v>
      </c>
      <c r="J1360" s="323" t="s">
        <v>3428</v>
      </c>
    </row>
    <row r="1361" spans="1:10" x14ac:dyDescent="0.25">
      <c r="A1361" s="321" t="s">
        <v>3417</v>
      </c>
      <c r="B1361" s="323" t="s">
        <v>0</v>
      </c>
      <c r="C1361" s="323" t="s">
        <v>238</v>
      </c>
      <c r="D1361" s="392" t="s">
        <v>1246</v>
      </c>
      <c r="E1361" s="387">
        <v>215859</v>
      </c>
      <c r="F1361" s="594" t="s">
        <v>3551</v>
      </c>
      <c r="G1361" s="578">
        <v>180.19</v>
      </c>
      <c r="H1361" s="594">
        <v>3288355</v>
      </c>
      <c r="I1361" s="597"/>
      <c r="J1361" s="323" t="s">
        <v>3478</v>
      </c>
    </row>
    <row r="1362" spans="1:10" x14ac:dyDescent="0.25">
      <c r="A1362" s="321" t="s">
        <v>3417</v>
      </c>
      <c r="B1362" s="323" t="s">
        <v>0</v>
      </c>
      <c r="C1362" s="323" t="s">
        <v>238</v>
      </c>
      <c r="D1362" s="392" t="s">
        <v>3481</v>
      </c>
      <c r="E1362" s="387">
        <v>352093</v>
      </c>
      <c r="F1362" s="594" t="s">
        <v>3547</v>
      </c>
      <c r="G1362" s="578">
        <v>183.33</v>
      </c>
      <c r="H1362" s="594">
        <v>3282738</v>
      </c>
      <c r="I1362" s="597"/>
      <c r="J1362" s="323" t="s">
        <v>3479</v>
      </c>
    </row>
    <row r="1363" spans="1:10" x14ac:dyDescent="0.25">
      <c r="A1363" s="321" t="s">
        <v>3417</v>
      </c>
      <c r="B1363" s="323" t="s">
        <v>0</v>
      </c>
      <c r="C1363" s="323" t="s">
        <v>238</v>
      </c>
      <c r="D1363" s="392" t="s">
        <v>2925</v>
      </c>
      <c r="E1363" s="387">
        <v>353967</v>
      </c>
      <c r="F1363" s="532"/>
      <c r="G1363" s="578">
        <v>201.85</v>
      </c>
      <c r="H1363" s="532"/>
      <c r="I1363" s="588"/>
      <c r="J1363" s="323" t="s">
        <v>2374</v>
      </c>
    </row>
    <row r="1364" spans="1:10" x14ac:dyDescent="0.25">
      <c r="A1364" s="321" t="s">
        <v>3417</v>
      </c>
      <c r="B1364" s="323" t="s">
        <v>0</v>
      </c>
      <c r="C1364" s="323" t="s">
        <v>238</v>
      </c>
      <c r="D1364" s="392" t="s">
        <v>181</v>
      </c>
      <c r="E1364" s="387">
        <v>351215</v>
      </c>
      <c r="F1364" s="594" t="s">
        <v>3508</v>
      </c>
      <c r="G1364" s="578">
        <v>206.22</v>
      </c>
      <c r="H1364" s="594">
        <v>3278556</v>
      </c>
      <c r="I1364" s="597"/>
      <c r="J1364" s="323" t="s">
        <v>3425</v>
      </c>
    </row>
    <row r="1365" spans="1:10" x14ac:dyDescent="0.25">
      <c r="A1365" s="321" t="s">
        <v>3417</v>
      </c>
      <c r="B1365" s="323" t="s">
        <v>0</v>
      </c>
      <c r="C1365" s="323" t="s">
        <v>238</v>
      </c>
      <c r="D1365" s="392" t="s">
        <v>3482</v>
      </c>
      <c r="E1365" s="387">
        <v>218435</v>
      </c>
      <c r="F1365" s="594" t="s">
        <v>3549</v>
      </c>
      <c r="G1365" s="578">
        <v>211.1</v>
      </c>
      <c r="H1365" s="594">
        <v>3281419</v>
      </c>
      <c r="J1365" s="323" t="s">
        <v>3484</v>
      </c>
    </row>
    <row r="1366" spans="1:10" x14ac:dyDescent="0.25">
      <c r="A1366" s="321" t="s">
        <v>3417</v>
      </c>
      <c r="B1366" s="323" t="s">
        <v>0</v>
      </c>
      <c r="C1366" s="323" t="s">
        <v>238</v>
      </c>
      <c r="D1366" s="392" t="s">
        <v>2769</v>
      </c>
      <c r="E1366" s="387">
        <v>351138</v>
      </c>
      <c r="F1366" s="594" t="s">
        <v>3550</v>
      </c>
      <c r="G1366" s="578">
        <v>216.86</v>
      </c>
      <c r="H1366" s="594">
        <v>3294188</v>
      </c>
      <c r="I1366" s="597"/>
      <c r="J1366" s="323" t="s">
        <v>3485</v>
      </c>
    </row>
    <row r="1367" spans="1:10" x14ac:dyDescent="0.25">
      <c r="A1367" s="321" t="s">
        <v>3417</v>
      </c>
      <c r="B1367" s="323" t="s">
        <v>0</v>
      </c>
      <c r="C1367" s="323" t="s">
        <v>238</v>
      </c>
      <c r="D1367" s="392" t="s">
        <v>3461</v>
      </c>
      <c r="E1367" s="387">
        <v>352374</v>
      </c>
      <c r="F1367" s="594" t="s">
        <v>3533</v>
      </c>
      <c r="G1367" s="578">
        <v>221.85</v>
      </c>
      <c r="H1367" s="594">
        <v>3298080</v>
      </c>
      <c r="I1367" s="597"/>
      <c r="J1367" s="323" t="s">
        <v>3462</v>
      </c>
    </row>
    <row r="1368" spans="1:10" x14ac:dyDescent="0.25">
      <c r="A1368" s="321" t="s">
        <v>3417</v>
      </c>
      <c r="B1368" s="323" t="s">
        <v>0</v>
      </c>
      <c r="C1368" s="323" t="s">
        <v>238</v>
      </c>
      <c r="D1368" s="392" t="s">
        <v>1017</v>
      </c>
      <c r="E1368" s="387">
        <v>350580</v>
      </c>
      <c r="F1368" s="594" t="s">
        <v>3553</v>
      </c>
      <c r="G1368" s="578">
        <v>234.05</v>
      </c>
      <c r="H1368" s="594">
        <v>3290178</v>
      </c>
      <c r="I1368" s="597"/>
      <c r="J1368" s="323" t="s">
        <v>3487</v>
      </c>
    </row>
    <row r="1369" spans="1:10" x14ac:dyDescent="0.25">
      <c r="A1369" s="321" t="s">
        <v>3417</v>
      </c>
      <c r="B1369" s="323" t="s">
        <v>0</v>
      </c>
      <c r="C1369" s="323" t="s">
        <v>238</v>
      </c>
      <c r="D1369" s="392" t="s">
        <v>2234</v>
      </c>
      <c r="E1369" s="387">
        <v>353018</v>
      </c>
      <c r="F1369" s="594" t="s">
        <v>3546</v>
      </c>
      <c r="G1369" s="578">
        <v>249.17</v>
      </c>
      <c r="H1369" s="594">
        <v>3287271</v>
      </c>
      <c r="J1369" s="323" t="s">
        <v>3477</v>
      </c>
    </row>
    <row r="1370" spans="1:10" x14ac:dyDescent="0.25">
      <c r="A1370" s="321" t="s">
        <v>3417</v>
      </c>
      <c r="B1370" s="323" t="s">
        <v>0</v>
      </c>
      <c r="C1370" s="323" t="s">
        <v>238</v>
      </c>
      <c r="D1370" s="392" t="s">
        <v>1888</v>
      </c>
      <c r="E1370" s="387">
        <v>211714</v>
      </c>
      <c r="F1370" s="594" t="s">
        <v>3554</v>
      </c>
      <c r="G1370" s="578">
        <v>251</v>
      </c>
      <c r="H1370" s="594">
        <v>3260995</v>
      </c>
      <c r="J1370" s="323" t="s">
        <v>3488</v>
      </c>
    </row>
    <row r="1371" spans="1:10" x14ac:dyDescent="0.25">
      <c r="A1371" s="321" t="s">
        <v>3417</v>
      </c>
      <c r="B1371" s="323" t="s">
        <v>0</v>
      </c>
      <c r="C1371" s="323" t="s">
        <v>238</v>
      </c>
      <c r="D1371" s="392" t="s">
        <v>3483</v>
      </c>
      <c r="E1371" s="387">
        <v>351290</v>
      </c>
      <c r="F1371" s="594" t="s">
        <v>3555</v>
      </c>
      <c r="G1371" s="578">
        <v>253.25</v>
      </c>
      <c r="H1371" s="594">
        <v>3282714</v>
      </c>
      <c r="I1371" s="597"/>
      <c r="J1371" s="323" t="s">
        <v>3489</v>
      </c>
    </row>
    <row r="1372" spans="1:10" x14ac:dyDescent="0.25">
      <c r="A1372" s="321" t="s">
        <v>3417</v>
      </c>
      <c r="B1372" s="323" t="s">
        <v>0</v>
      </c>
      <c r="C1372" s="323" t="s">
        <v>238</v>
      </c>
      <c r="D1372" s="392" t="s">
        <v>1024</v>
      </c>
      <c r="E1372" s="387">
        <v>352074</v>
      </c>
      <c r="F1372" s="594" t="s">
        <v>3552</v>
      </c>
      <c r="G1372" s="578">
        <v>264.85000000000002</v>
      </c>
      <c r="H1372" s="594">
        <v>3276944</v>
      </c>
      <c r="I1372" s="597"/>
      <c r="J1372" s="323" t="s">
        <v>3486</v>
      </c>
    </row>
    <row r="1373" spans="1:10" x14ac:dyDescent="0.25">
      <c r="A1373" s="321" t="s">
        <v>3417</v>
      </c>
      <c r="B1373" s="323" t="s">
        <v>0</v>
      </c>
      <c r="C1373" s="323" t="s">
        <v>238</v>
      </c>
      <c r="D1373" s="392" t="s">
        <v>2944</v>
      </c>
      <c r="E1373" s="387">
        <v>351282</v>
      </c>
      <c r="F1373" s="594" t="s">
        <v>3548</v>
      </c>
      <c r="G1373" s="578">
        <v>277.95</v>
      </c>
      <c r="H1373" s="594">
        <v>3285323</v>
      </c>
      <c r="I1373" s="597"/>
      <c r="J1373" s="323" t="s">
        <v>3480</v>
      </c>
    </row>
    <row r="1374" spans="1:10" x14ac:dyDescent="0.25">
      <c r="A1374" s="321" t="s">
        <v>3417</v>
      </c>
      <c r="B1374" s="323" t="s">
        <v>0</v>
      </c>
      <c r="C1374" s="323" t="s">
        <v>2689</v>
      </c>
      <c r="D1374" s="392" t="s">
        <v>3359</v>
      </c>
      <c r="E1374" s="387">
        <v>351525</v>
      </c>
      <c r="F1374" s="594" t="s">
        <v>3522</v>
      </c>
      <c r="G1374" s="578">
        <v>182.65</v>
      </c>
      <c r="H1374" s="594">
        <v>3290668</v>
      </c>
      <c r="I1374" s="597"/>
      <c r="J1374" s="323" t="s">
        <v>3440</v>
      </c>
    </row>
    <row r="1375" spans="1:10" x14ac:dyDescent="0.25">
      <c r="A1375" s="321" t="s">
        <v>3417</v>
      </c>
      <c r="B1375" s="323" t="s">
        <v>0</v>
      </c>
      <c r="C1375" s="323" t="s">
        <v>238</v>
      </c>
      <c r="D1375" s="392" t="s">
        <v>3434</v>
      </c>
      <c r="E1375" s="387">
        <v>351789</v>
      </c>
      <c r="F1375" s="594" t="s">
        <v>3517</v>
      </c>
      <c r="G1375" s="578">
        <v>55.9</v>
      </c>
      <c r="H1375" s="594">
        <v>3281752</v>
      </c>
      <c r="I1375" s="594">
        <v>3281752</v>
      </c>
      <c r="J1375" s="323" t="s">
        <v>3435</v>
      </c>
    </row>
    <row r="1376" spans="1:10" x14ac:dyDescent="0.25">
      <c r="A1376" s="321" t="s">
        <v>3417</v>
      </c>
      <c r="B1376" s="323" t="s">
        <v>0</v>
      </c>
      <c r="C1376" s="323" t="s">
        <v>2831</v>
      </c>
      <c r="D1376" s="392" t="s">
        <v>316</v>
      </c>
      <c r="E1376" s="387">
        <v>351306</v>
      </c>
      <c r="F1376" s="594" t="s">
        <v>3521</v>
      </c>
      <c r="G1376" s="578">
        <v>28.95</v>
      </c>
      <c r="H1376" s="594">
        <v>3283329</v>
      </c>
      <c r="I1376" s="594">
        <v>3283329</v>
      </c>
      <c r="J1376" s="323" t="s">
        <v>3439</v>
      </c>
    </row>
    <row r="1377" spans="1:10" x14ac:dyDescent="0.25">
      <c r="A1377" s="321" t="s">
        <v>3417</v>
      </c>
      <c r="B1377" s="323" t="s">
        <v>0</v>
      </c>
      <c r="C1377" s="323" t="s">
        <v>238</v>
      </c>
      <c r="D1377" s="392" t="s">
        <v>3454</v>
      </c>
      <c r="E1377" s="387">
        <v>350200</v>
      </c>
      <c r="F1377" s="594" t="s">
        <v>3529</v>
      </c>
      <c r="G1377" s="578">
        <v>66.900000000000006</v>
      </c>
      <c r="H1377" s="594">
        <v>3303911</v>
      </c>
      <c r="I1377" s="594">
        <v>3303911</v>
      </c>
      <c r="J1377" s="323" t="s">
        <v>3452</v>
      </c>
    </row>
    <row r="1378" spans="1:10" x14ac:dyDescent="0.25">
      <c r="A1378" s="321">
        <v>42905.100775462961</v>
      </c>
      <c r="B1378" s="323" t="s">
        <v>127</v>
      </c>
      <c r="D1378" s="392" t="s">
        <v>181</v>
      </c>
      <c r="E1378" s="387">
        <v>351215</v>
      </c>
      <c r="F1378" s="532"/>
      <c r="G1378" s="578">
        <v>47.28</v>
      </c>
      <c r="H1378" s="532">
        <v>3278801</v>
      </c>
      <c r="J1378" s="323" t="s">
        <v>2573</v>
      </c>
    </row>
    <row r="1379" spans="1:10" x14ac:dyDescent="0.25">
      <c r="A1379" s="321">
        <v>42905.366261574076</v>
      </c>
      <c r="B1379" s="323" t="s">
        <v>127</v>
      </c>
      <c r="D1379" s="392" t="s">
        <v>181</v>
      </c>
      <c r="E1379" s="387">
        <v>351215</v>
      </c>
      <c r="F1379" s="532"/>
      <c r="G1379" s="578">
        <v>64</v>
      </c>
      <c r="H1379" s="532">
        <v>3275765</v>
      </c>
      <c r="J1379" s="323" t="s">
        <v>2573</v>
      </c>
    </row>
    <row r="1380" spans="1:10" x14ac:dyDescent="0.25">
      <c r="A1380" s="321">
        <v>42905.401041666664</v>
      </c>
      <c r="B1380" s="323" t="s">
        <v>127</v>
      </c>
      <c r="D1380" s="392" t="s">
        <v>181</v>
      </c>
      <c r="E1380" s="387">
        <v>351215</v>
      </c>
      <c r="F1380" s="532"/>
      <c r="G1380" s="578">
        <v>36.58</v>
      </c>
      <c r="H1380" s="532">
        <v>3272956</v>
      </c>
      <c r="J1380" s="323" t="s">
        <v>2573</v>
      </c>
    </row>
    <row r="1381" spans="1:10" x14ac:dyDescent="0.25">
      <c r="A1381" s="321">
        <v>42905.446400462963</v>
      </c>
      <c r="B1381" s="323" t="s">
        <v>127</v>
      </c>
      <c r="D1381" s="392" t="s">
        <v>181</v>
      </c>
      <c r="E1381" s="387">
        <v>351215</v>
      </c>
      <c r="F1381" s="532"/>
      <c r="G1381" s="578">
        <v>50</v>
      </c>
      <c r="H1381" s="532">
        <v>3276263</v>
      </c>
      <c r="J1381" s="323" t="s">
        <v>2573</v>
      </c>
    </row>
    <row r="1382" spans="1:10" x14ac:dyDescent="0.25">
      <c r="A1382" s="321">
        <v>42906.289733796293</v>
      </c>
      <c r="B1382" s="323" t="s">
        <v>127</v>
      </c>
      <c r="D1382" s="392" t="s">
        <v>181</v>
      </c>
      <c r="E1382" s="387">
        <v>351215</v>
      </c>
      <c r="F1382" s="532"/>
      <c r="G1382" s="578">
        <v>129.32</v>
      </c>
      <c r="H1382" s="532">
        <v>3286837</v>
      </c>
      <c r="J1382" s="323" t="s">
        <v>2573</v>
      </c>
    </row>
    <row r="1383" spans="1:10" x14ac:dyDescent="0.25">
      <c r="A1383" s="321">
        <v>42907.04315972222</v>
      </c>
      <c r="B1383" s="323" t="s">
        <v>127</v>
      </c>
      <c r="D1383" s="392" t="s">
        <v>181</v>
      </c>
      <c r="E1383" s="387">
        <v>351215</v>
      </c>
      <c r="F1383" s="532"/>
      <c r="G1383" s="578">
        <v>134.85</v>
      </c>
      <c r="H1383" s="532">
        <v>3280204</v>
      </c>
      <c r="J1383" s="323" t="s">
        <v>2573</v>
      </c>
    </row>
    <row r="1384" spans="1:10" x14ac:dyDescent="0.25">
      <c r="A1384" s="321">
        <v>42908.112210648149</v>
      </c>
      <c r="B1384" s="323" t="s">
        <v>127</v>
      </c>
      <c r="D1384" s="392" t="s">
        <v>181</v>
      </c>
      <c r="E1384" s="387">
        <v>351215</v>
      </c>
      <c r="F1384" s="532"/>
      <c r="G1384" s="578">
        <v>65</v>
      </c>
      <c r="H1384" s="532">
        <v>3298621</v>
      </c>
      <c r="J1384" s="323" t="s">
        <v>2573</v>
      </c>
    </row>
    <row r="1385" spans="1:10" x14ac:dyDescent="0.25">
      <c r="A1385" s="321">
        <v>42909.291990740741</v>
      </c>
      <c r="B1385" s="323" t="s">
        <v>127</v>
      </c>
      <c r="D1385" s="392" t="s">
        <v>181</v>
      </c>
      <c r="E1385" s="387">
        <v>351215</v>
      </c>
      <c r="F1385" s="532"/>
      <c r="G1385" s="578">
        <v>75.98</v>
      </c>
      <c r="H1385" s="532">
        <v>3296784</v>
      </c>
      <c r="J1385" s="323" t="s">
        <v>2573</v>
      </c>
    </row>
    <row r="1386" spans="1:10" x14ac:dyDescent="0.25">
      <c r="A1386" s="321">
        <v>42907</v>
      </c>
      <c r="B1386" s="323" t="s">
        <v>127</v>
      </c>
      <c r="D1386" s="392" t="s">
        <v>3493</v>
      </c>
      <c r="E1386" s="387">
        <v>350425</v>
      </c>
      <c r="F1386" s="532"/>
      <c r="G1386" s="578">
        <f>2.72+31.24</f>
        <v>33.96</v>
      </c>
      <c r="H1386" s="532">
        <v>3279856</v>
      </c>
      <c r="J1386" s="323" t="s">
        <v>3494</v>
      </c>
    </row>
    <row r="1387" spans="1:10" x14ac:dyDescent="0.25">
      <c r="A1387" s="321">
        <v>42908</v>
      </c>
      <c r="B1387" s="323" t="s">
        <v>127</v>
      </c>
      <c r="D1387" s="392" t="s">
        <v>3493</v>
      </c>
      <c r="E1387" s="387">
        <v>350425</v>
      </c>
      <c r="F1387" s="532"/>
      <c r="G1387" s="578">
        <f>4.49+95.32</f>
        <v>99.809999999999988</v>
      </c>
      <c r="H1387" s="532">
        <v>3289826</v>
      </c>
      <c r="J1387" s="323" t="s">
        <v>3494</v>
      </c>
    </row>
    <row r="1388" spans="1:10" x14ac:dyDescent="0.25">
      <c r="A1388" s="321" t="s">
        <v>3417</v>
      </c>
      <c r="B1388" s="323" t="s">
        <v>0</v>
      </c>
      <c r="C1388" s="335" t="s">
        <v>2688</v>
      </c>
      <c r="D1388" s="392" t="s">
        <v>3243</v>
      </c>
      <c r="E1388" s="387">
        <v>353025</v>
      </c>
      <c r="F1388" s="532"/>
      <c r="G1388" s="578">
        <v>-41.95</v>
      </c>
      <c r="H1388" s="532"/>
      <c r="J1388" s="323" t="s">
        <v>3495</v>
      </c>
    </row>
    <row r="1389" spans="1:10" x14ac:dyDescent="0.25">
      <c r="A1389" s="321" t="s">
        <v>3558</v>
      </c>
      <c r="B1389" s="323" t="s">
        <v>0</v>
      </c>
      <c r="C1389" s="323" t="s">
        <v>238</v>
      </c>
      <c r="D1389" s="392" t="s">
        <v>2479</v>
      </c>
      <c r="E1389" s="387">
        <v>352050</v>
      </c>
      <c r="F1389" s="594" t="s">
        <v>3722</v>
      </c>
      <c r="G1389" s="578">
        <v>109.98</v>
      </c>
      <c r="H1389" s="594">
        <v>3308383</v>
      </c>
      <c r="J1389" s="323" t="s">
        <v>3705</v>
      </c>
    </row>
    <row r="1390" spans="1:10" x14ac:dyDescent="0.25">
      <c r="A1390" s="321" t="s">
        <v>3558</v>
      </c>
      <c r="B1390" s="323" t="s">
        <v>0</v>
      </c>
      <c r="C1390" s="323" t="s">
        <v>238</v>
      </c>
      <c r="D1390" s="392" t="s">
        <v>3699</v>
      </c>
      <c r="E1390" s="387">
        <v>352715</v>
      </c>
      <c r="F1390" s="594" t="s">
        <v>3700</v>
      </c>
      <c r="G1390" s="578">
        <v>98.59</v>
      </c>
      <c r="H1390" s="594">
        <v>3313628</v>
      </c>
      <c r="J1390" s="323" t="s">
        <v>3697</v>
      </c>
    </row>
    <row r="1391" spans="1:10" x14ac:dyDescent="0.25">
      <c r="A1391" s="321" t="s">
        <v>3558</v>
      </c>
      <c r="B1391" s="323" t="s">
        <v>0</v>
      </c>
      <c r="C1391" s="323" t="s">
        <v>238</v>
      </c>
      <c r="D1391" s="392" t="s">
        <v>2125</v>
      </c>
      <c r="E1391" s="387">
        <v>350142</v>
      </c>
      <c r="F1391" s="594" t="s">
        <v>3641</v>
      </c>
      <c r="G1391" s="578">
        <v>58.45</v>
      </c>
      <c r="H1391" s="594">
        <v>3317905</v>
      </c>
      <c r="J1391" s="323" t="s">
        <v>3626</v>
      </c>
    </row>
    <row r="1392" spans="1:10" x14ac:dyDescent="0.25">
      <c r="A1392" s="321" t="s">
        <v>3558</v>
      </c>
      <c r="B1392" s="323" t="s">
        <v>0</v>
      </c>
      <c r="C1392" s="323" t="s">
        <v>238</v>
      </c>
      <c r="D1392" s="392" t="s">
        <v>3648</v>
      </c>
      <c r="E1392" s="387">
        <v>353006</v>
      </c>
      <c r="F1392" s="594" t="s">
        <v>3650</v>
      </c>
      <c r="G1392" s="578">
        <v>60.57</v>
      </c>
      <c r="H1392" s="594">
        <v>3318929</v>
      </c>
      <c r="J1392" s="323" t="s">
        <v>3646</v>
      </c>
    </row>
    <row r="1393" spans="1:10" x14ac:dyDescent="0.25">
      <c r="A1393" s="321" t="s">
        <v>3558</v>
      </c>
      <c r="B1393" s="323" t="s">
        <v>0</v>
      </c>
      <c r="C1393" s="323" t="s">
        <v>238</v>
      </c>
      <c r="D1393" s="392" t="s">
        <v>3693</v>
      </c>
      <c r="E1393" s="387">
        <v>352694</v>
      </c>
      <c r="F1393" s="594" t="s">
        <v>3696</v>
      </c>
      <c r="G1393" s="578">
        <v>91.95</v>
      </c>
      <c r="H1393" s="594">
        <v>3319171</v>
      </c>
      <c r="J1393" s="323" t="s">
        <v>3691</v>
      </c>
    </row>
    <row r="1394" spans="1:10" x14ac:dyDescent="0.25">
      <c r="A1394" s="321" t="s">
        <v>3558</v>
      </c>
      <c r="B1394" s="323" t="s">
        <v>0</v>
      </c>
      <c r="C1394" s="323" t="s">
        <v>238</v>
      </c>
      <c r="D1394" s="392" t="s">
        <v>2886</v>
      </c>
      <c r="E1394" s="387">
        <v>350830</v>
      </c>
      <c r="F1394" s="594" t="s">
        <v>3685</v>
      </c>
      <c r="G1394" s="578">
        <v>82.26</v>
      </c>
      <c r="H1394" s="594">
        <v>3319176</v>
      </c>
      <c r="J1394" s="323" t="s">
        <v>3679</v>
      </c>
    </row>
    <row r="1395" spans="1:10" x14ac:dyDescent="0.25">
      <c r="A1395" s="321" t="s">
        <v>3558</v>
      </c>
      <c r="B1395" s="323" t="s">
        <v>0</v>
      </c>
      <c r="C1395" s="323" t="s">
        <v>238</v>
      </c>
      <c r="D1395" s="392" t="s">
        <v>3229</v>
      </c>
      <c r="E1395" s="387">
        <v>350086</v>
      </c>
      <c r="F1395" s="594" t="s">
        <v>3631</v>
      </c>
      <c r="G1395" s="578">
        <v>51.95</v>
      </c>
      <c r="H1395" s="594">
        <v>3319180</v>
      </c>
      <c r="J1395" s="323" t="s">
        <v>3616</v>
      </c>
    </row>
    <row r="1396" spans="1:10" x14ac:dyDescent="0.25">
      <c r="A1396" s="321" t="s">
        <v>3558</v>
      </c>
      <c r="B1396" s="323" t="s">
        <v>0</v>
      </c>
      <c r="C1396" s="323" t="s">
        <v>238</v>
      </c>
      <c r="D1396" s="392" t="s">
        <v>3426</v>
      </c>
      <c r="E1396" s="387">
        <v>352765</v>
      </c>
      <c r="F1396" s="594" t="s">
        <v>3748</v>
      </c>
      <c r="G1396" s="578">
        <v>147.22999999999999</v>
      </c>
      <c r="H1396" s="594">
        <v>3319381</v>
      </c>
      <c r="J1396" s="323" t="s">
        <v>3740</v>
      </c>
    </row>
    <row r="1397" spans="1:10" x14ac:dyDescent="0.25">
      <c r="A1397" s="321" t="s">
        <v>3558</v>
      </c>
      <c r="B1397" s="323" t="s">
        <v>0</v>
      </c>
      <c r="C1397" s="323" t="s">
        <v>2831</v>
      </c>
      <c r="D1397" s="392" t="s">
        <v>3692</v>
      </c>
      <c r="E1397" s="387">
        <v>224974</v>
      </c>
      <c r="F1397" s="594" t="s">
        <v>3694</v>
      </c>
      <c r="G1397" s="578">
        <v>85.95</v>
      </c>
      <c r="H1397" s="594">
        <v>3319859</v>
      </c>
      <c r="J1397" s="323" t="s">
        <v>3689</v>
      </c>
    </row>
    <row r="1398" spans="1:10" x14ac:dyDescent="0.25">
      <c r="A1398" s="321" t="s">
        <v>3558</v>
      </c>
      <c r="B1398" s="323" t="s">
        <v>0</v>
      </c>
      <c r="C1398" s="323" t="s">
        <v>238</v>
      </c>
      <c r="D1398" s="392" t="s">
        <v>1291</v>
      </c>
      <c r="E1398" s="387">
        <v>351726</v>
      </c>
      <c r="F1398" s="594" t="s">
        <v>3638</v>
      </c>
      <c r="G1398" s="578">
        <v>56.58</v>
      </c>
      <c r="H1398" s="594">
        <v>3319861</v>
      </c>
      <c r="J1398" s="323" t="s">
        <v>3623</v>
      </c>
    </row>
    <row r="1399" spans="1:10" x14ac:dyDescent="0.25">
      <c r="A1399" s="321" t="s">
        <v>3558</v>
      </c>
      <c r="B1399" s="323" t="s">
        <v>0</v>
      </c>
      <c r="C1399" s="323" t="s">
        <v>238</v>
      </c>
      <c r="D1399" s="392" t="s">
        <v>68</v>
      </c>
      <c r="E1399" s="387">
        <v>351621</v>
      </c>
      <c r="F1399" s="594" t="s">
        <v>3592</v>
      </c>
      <c r="G1399" s="578">
        <v>19.559999999999999</v>
      </c>
      <c r="H1399" s="594">
        <v>3320074</v>
      </c>
      <c r="J1399" s="323" t="s">
        <v>3590</v>
      </c>
    </row>
    <row r="1400" spans="1:10" x14ac:dyDescent="0.25">
      <c r="A1400" s="321" t="s">
        <v>3558</v>
      </c>
      <c r="B1400" s="323" t="s">
        <v>0</v>
      </c>
      <c r="C1400" s="323" t="s">
        <v>238</v>
      </c>
      <c r="D1400" s="392" t="s">
        <v>3657</v>
      </c>
      <c r="E1400" s="387">
        <v>350890</v>
      </c>
      <c r="F1400" s="594" t="s">
        <v>3661</v>
      </c>
      <c r="G1400" s="578">
        <v>67.45</v>
      </c>
      <c r="H1400" s="594">
        <v>3320104</v>
      </c>
      <c r="J1400" s="323" t="s">
        <v>3652</v>
      </c>
    </row>
    <row r="1401" spans="1:10" x14ac:dyDescent="0.25">
      <c r="A1401" s="321" t="s">
        <v>3558</v>
      </c>
      <c r="B1401" s="323" t="s">
        <v>0</v>
      </c>
      <c r="C1401" s="323" t="s">
        <v>238</v>
      </c>
      <c r="D1401" s="392" t="s">
        <v>3683</v>
      </c>
      <c r="E1401" s="387">
        <v>350278</v>
      </c>
      <c r="F1401" s="594" t="s">
        <v>3687</v>
      </c>
      <c r="G1401" s="578">
        <v>83.69</v>
      </c>
      <c r="H1401" s="594">
        <v>3320149</v>
      </c>
      <c r="J1401" s="323" t="s">
        <v>3681</v>
      </c>
    </row>
    <row r="1402" spans="1:10" x14ac:dyDescent="0.25">
      <c r="A1402" s="321" t="s">
        <v>3558</v>
      </c>
      <c r="B1402" s="323" t="s">
        <v>0</v>
      </c>
      <c r="C1402" s="323" t="s">
        <v>238</v>
      </c>
      <c r="D1402" s="392" t="s">
        <v>3471</v>
      </c>
      <c r="E1402" s="387">
        <v>352831</v>
      </c>
      <c r="F1402" s="594" t="s">
        <v>3728</v>
      </c>
      <c r="G1402" s="578">
        <v>123.92</v>
      </c>
      <c r="H1402" s="594">
        <v>3320183</v>
      </c>
      <c r="J1402" s="323" t="s">
        <v>3710</v>
      </c>
    </row>
    <row r="1403" spans="1:10" x14ac:dyDescent="0.25">
      <c r="A1403" s="321" t="s">
        <v>3558</v>
      </c>
      <c r="B1403" s="323" t="s">
        <v>0</v>
      </c>
      <c r="C1403" s="323" t="s">
        <v>238</v>
      </c>
      <c r="D1403" s="392" t="s">
        <v>3600</v>
      </c>
      <c r="E1403" s="387"/>
      <c r="F1403" s="594" t="s">
        <v>3603</v>
      </c>
      <c r="G1403" s="578">
        <v>47.45</v>
      </c>
      <c r="H1403" s="594">
        <v>3320243</v>
      </c>
      <c r="J1403" s="323" t="s">
        <v>3597</v>
      </c>
    </row>
    <row r="1404" spans="1:10" x14ac:dyDescent="0.25">
      <c r="A1404" s="321" t="s">
        <v>3558</v>
      </c>
      <c r="B1404" s="323" t="s">
        <v>0</v>
      </c>
      <c r="C1404" s="323" t="s">
        <v>238</v>
      </c>
      <c r="D1404" s="392" t="s">
        <v>3102</v>
      </c>
      <c r="E1404" s="387">
        <v>353301</v>
      </c>
      <c r="F1404" s="594" t="s">
        <v>3701</v>
      </c>
      <c r="G1404" s="578">
        <v>59.68</v>
      </c>
      <c r="H1404" s="594">
        <v>3320403</v>
      </c>
      <c r="J1404" s="323" t="s">
        <v>3698</v>
      </c>
    </row>
    <row r="1405" spans="1:10" x14ac:dyDescent="0.25">
      <c r="A1405" s="321" t="s">
        <v>3558</v>
      </c>
      <c r="B1405" s="323" t="s">
        <v>0</v>
      </c>
      <c r="C1405" s="323" t="s">
        <v>238</v>
      </c>
      <c r="D1405" s="392" t="s">
        <v>2382</v>
      </c>
      <c r="E1405" s="387">
        <v>350251</v>
      </c>
      <c r="F1405" s="594" t="s">
        <v>3753</v>
      </c>
      <c r="G1405" s="578">
        <v>61.43</v>
      </c>
      <c r="H1405" s="594">
        <v>3320499</v>
      </c>
      <c r="J1405" s="323" t="s">
        <v>3751</v>
      </c>
    </row>
    <row r="1406" spans="1:10" x14ac:dyDescent="0.25">
      <c r="A1406" s="321" t="s">
        <v>3558</v>
      </c>
      <c r="B1406" s="323" t="s">
        <v>0</v>
      </c>
      <c r="C1406" s="323" t="s">
        <v>238</v>
      </c>
      <c r="D1406" s="392" t="s">
        <v>2168</v>
      </c>
      <c r="E1406" s="387">
        <v>211552</v>
      </c>
      <c r="F1406" s="594" t="s">
        <v>3750</v>
      </c>
      <c r="G1406" s="578">
        <v>160.15</v>
      </c>
      <c r="H1406" s="594">
        <v>3320514</v>
      </c>
      <c r="J1406" s="323" t="s">
        <v>3742</v>
      </c>
    </row>
    <row r="1407" spans="1:10" x14ac:dyDescent="0.25">
      <c r="A1407" s="321" t="s">
        <v>3558</v>
      </c>
      <c r="B1407" s="323" t="s">
        <v>0</v>
      </c>
      <c r="C1407" s="323" t="s">
        <v>238</v>
      </c>
      <c r="D1407" s="392" t="s">
        <v>2450</v>
      </c>
      <c r="E1407" s="387">
        <v>224428</v>
      </c>
      <c r="F1407" s="594" t="s">
        <v>3633</v>
      </c>
      <c r="G1407" s="578">
        <v>52.44</v>
      </c>
      <c r="H1407" s="594">
        <v>3320584</v>
      </c>
      <c r="J1407" s="323" t="s">
        <v>3618</v>
      </c>
    </row>
    <row r="1408" spans="1:10" x14ac:dyDescent="0.25">
      <c r="A1408" s="321" t="s">
        <v>3558</v>
      </c>
      <c r="B1408" s="323" t="s">
        <v>0</v>
      </c>
      <c r="C1408" s="323" t="s">
        <v>238</v>
      </c>
      <c r="D1408" s="392" t="s">
        <v>2227</v>
      </c>
      <c r="E1408" s="387">
        <v>350458</v>
      </c>
      <c r="F1408" s="594" t="s">
        <v>3695</v>
      </c>
      <c r="G1408" s="578">
        <v>91.95</v>
      </c>
      <c r="H1408" s="594">
        <v>3321685</v>
      </c>
      <c r="J1408" s="323" t="s">
        <v>3690</v>
      </c>
    </row>
    <row r="1409" spans="1:10" x14ac:dyDescent="0.25">
      <c r="A1409" s="321" t="s">
        <v>3558</v>
      </c>
      <c r="B1409" s="323" t="s">
        <v>0</v>
      </c>
      <c r="C1409" s="323" t="s">
        <v>2831</v>
      </c>
      <c r="D1409" s="392" t="s">
        <v>3453</v>
      </c>
      <c r="E1409" s="387">
        <v>870</v>
      </c>
      <c r="F1409" s="594" t="s">
        <v>3635</v>
      </c>
      <c r="G1409" s="578">
        <v>54.01</v>
      </c>
      <c r="H1409" s="594">
        <v>3321718</v>
      </c>
      <c r="J1409" s="323" t="s">
        <v>3620</v>
      </c>
    </row>
    <row r="1410" spans="1:10" x14ac:dyDescent="0.25">
      <c r="A1410" s="321" t="s">
        <v>3558</v>
      </c>
      <c r="B1410" s="323" t="s">
        <v>0</v>
      </c>
      <c r="C1410" s="323" t="s">
        <v>238</v>
      </c>
      <c r="D1410" s="392" t="s">
        <v>3671</v>
      </c>
      <c r="E1410" s="387">
        <v>350819</v>
      </c>
      <c r="F1410" s="594" t="s">
        <v>3674</v>
      </c>
      <c r="G1410" s="578">
        <v>74.8</v>
      </c>
      <c r="H1410" s="594">
        <v>3321732</v>
      </c>
      <c r="J1410" s="323" t="s">
        <v>3666</v>
      </c>
    </row>
    <row r="1411" spans="1:10" x14ac:dyDescent="0.25">
      <c r="A1411" s="321" t="s">
        <v>3558</v>
      </c>
      <c r="B1411" s="323" t="s">
        <v>0</v>
      </c>
      <c r="C1411" s="323" t="s">
        <v>238</v>
      </c>
      <c r="D1411" s="392" t="s">
        <v>2357</v>
      </c>
      <c r="E1411" s="387">
        <v>351472</v>
      </c>
      <c r="F1411" s="594" t="s">
        <v>3594</v>
      </c>
      <c r="G1411" s="578">
        <v>40.950000000000003</v>
      </c>
      <c r="H1411" s="594">
        <v>3321764</v>
      </c>
      <c r="J1411" s="323" t="s">
        <v>3593</v>
      </c>
    </row>
    <row r="1412" spans="1:10" x14ac:dyDescent="0.25">
      <c r="A1412" s="321" t="s">
        <v>3558</v>
      </c>
      <c r="B1412" s="323" t="s">
        <v>0</v>
      </c>
      <c r="C1412" s="323" t="s">
        <v>238</v>
      </c>
      <c r="D1412" s="392" t="s">
        <v>3609</v>
      </c>
      <c r="E1412" s="387">
        <v>351626</v>
      </c>
      <c r="F1412" s="594" t="s">
        <v>3632</v>
      </c>
      <c r="G1412" s="578">
        <v>51.95</v>
      </c>
      <c r="H1412" s="594">
        <v>3321772</v>
      </c>
      <c r="J1412" s="323" t="s">
        <v>3617</v>
      </c>
    </row>
    <row r="1413" spans="1:10" x14ac:dyDescent="0.25">
      <c r="A1413" s="321" t="s">
        <v>3558</v>
      </c>
      <c r="B1413" s="323" t="s">
        <v>0</v>
      </c>
      <c r="C1413" s="323" t="s">
        <v>238</v>
      </c>
      <c r="D1413" s="392" t="s">
        <v>3658</v>
      </c>
      <c r="E1413" s="387">
        <v>351838</v>
      </c>
      <c r="F1413" s="594" t="s">
        <v>3662</v>
      </c>
      <c r="G1413" s="578">
        <v>67.900000000000006</v>
      </c>
      <c r="H1413" s="594">
        <v>3321795</v>
      </c>
      <c r="J1413" s="323" t="s">
        <v>3653</v>
      </c>
    </row>
    <row r="1414" spans="1:10" x14ac:dyDescent="0.25">
      <c r="A1414" s="321" t="s">
        <v>3558</v>
      </c>
      <c r="B1414" s="323" t="s">
        <v>0</v>
      </c>
      <c r="C1414" s="323" t="s">
        <v>238</v>
      </c>
      <c r="D1414" s="392" t="s">
        <v>3608</v>
      </c>
      <c r="E1414" s="387">
        <v>350602</v>
      </c>
      <c r="F1414" s="594" t="s">
        <v>3630</v>
      </c>
      <c r="G1414" s="578">
        <v>51.89</v>
      </c>
      <c r="H1414" s="594">
        <v>3321805</v>
      </c>
      <c r="J1414" s="323" t="s">
        <v>3615</v>
      </c>
    </row>
    <row r="1415" spans="1:10" x14ac:dyDescent="0.25">
      <c r="A1415" s="321" t="s">
        <v>3558</v>
      </c>
      <c r="B1415" s="323" t="s">
        <v>0</v>
      </c>
      <c r="C1415" s="323" t="s">
        <v>238</v>
      </c>
      <c r="D1415" s="392" t="s">
        <v>271</v>
      </c>
      <c r="E1415" s="387">
        <v>1082</v>
      </c>
      <c r="F1415" s="594" t="s">
        <v>3726</v>
      </c>
      <c r="G1415" s="578">
        <f>24.96</f>
        <v>24.96</v>
      </c>
      <c r="H1415" s="594">
        <v>3321823</v>
      </c>
      <c r="J1415" s="323" t="s">
        <v>3709</v>
      </c>
    </row>
    <row r="1416" spans="1:10" x14ac:dyDescent="0.25">
      <c r="A1416" s="321" t="s">
        <v>3558</v>
      </c>
      <c r="B1416" s="323" t="s">
        <v>0</v>
      </c>
      <c r="C1416" s="323" t="s">
        <v>238</v>
      </c>
      <c r="D1416" s="392" t="s">
        <v>3612</v>
      </c>
      <c r="E1416" s="387">
        <v>351930</v>
      </c>
      <c r="F1416" s="594" t="s">
        <v>3642</v>
      </c>
      <c r="G1416" s="578">
        <v>58.93</v>
      </c>
      <c r="H1416" s="594">
        <v>3321825</v>
      </c>
      <c r="J1416" s="323" t="s">
        <v>3627</v>
      </c>
    </row>
    <row r="1417" spans="1:10" x14ac:dyDescent="0.25">
      <c r="A1417" s="321" t="s">
        <v>3558</v>
      </c>
      <c r="B1417" s="323" t="s">
        <v>0</v>
      </c>
      <c r="C1417" s="323" t="s">
        <v>238</v>
      </c>
      <c r="D1417" s="392" t="s">
        <v>2488</v>
      </c>
      <c r="E1417" s="387">
        <v>351679</v>
      </c>
      <c r="F1417" s="594" t="s">
        <v>3634</v>
      </c>
      <c r="G1417" s="578">
        <v>52.5</v>
      </c>
      <c r="H1417" s="594">
        <v>3321882</v>
      </c>
      <c r="J1417" s="323" t="s">
        <v>3619</v>
      </c>
    </row>
    <row r="1418" spans="1:10" x14ac:dyDescent="0.25">
      <c r="A1418" s="321" t="s">
        <v>3558</v>
      </c>
      <c r="B1418" s="323" t="s">
        <v>0</v>
      </c>
      <c r="C1418" s="323" t="s">
        <v>238</v>
      </c>
      <c r="D1418" s="392" t="s">
        <v>3102</v>
      </c>
      <c r="E1418" s="387">
        <v>353301</v>
      </c>
      <c r="F1418" s="594" t="s">
        <v>3702</v>
      </c>
      <c r="G1418" s="578">
        <v>39.630000000000003</v>
      </c>
      <c r="H1418" s="594">
        <v>3322001</v>
      </c>
      <c r="J1418" s="323" t="s">
        <v>3698</v>
      </c>
    </row>
    <row r="1419" spans="1:10" x14ac:dyDescent="0.25">
      <c r="A1419" s="321" t="s">
        <v>3558</v>
      </c>
      <c r="B1419" s="323" t="s">
        <v>0</v>
      </c>
      <c r="C1419" s="323" t="s">
        <v>238</v>
      </c>
      <c r="D1419" s="392" t="s">
        <v>3577</v>
      </c>
      <c r="E1419" s="387">
        <v>211532</v>
      </c>
      <c r="F1419" s="594" t="s">
        <v>3584</v>
      </c>
      <c r="G1419" s="578">
        <v>29.95</v>
      </c>
      <c r="H1419" s="594">
        <v>3322007</v>
      </c>
      <c r="J1419" s="323" t="s">
        <v>3580</v>
      </c>
    </row>
    <row r="1420" spans="1:10" x14ac:dyDescent="0.25">
      <c r="A1420" s="321" t="s">
        <v>3558</v>
      </c>
      <c r="B1420" s="323" t="s">
        <v>0</v>
      </c>
      <c r="C1420" s="323" t="s">
        <v>238</v>
      </c>
      <c r="D1420" s="392" t="s">
        <v>2468</v>
      </c>
      <c r="E1420" s="387">
        <v>352754</v>
      </c>
      <c r="F1420" s="594" t="s">
        <v>3745</v>
      </c>
      <c r="G1420" s="578">
        <v>51.19</v>
      </c>
      <c r="H1420" s="594">
        <v>3322126</v>
      </c>
      <c r="J1420" s="323" t="s">
        <v>3737</v>
      </c>
    </row>
    <row r="1421" spans="1:10" x14ac:dyDescent="0.25">
      <c r="A1421" s="321" t="s">
        <v>3558</v>
      </c>
      <c r="B1421" s="323" t="s">
        <v>0</v>
      </c>
      <c r="C1421" s="323" t="s">
        <v>238</v>
      </c>
      <c r="D1421" s="392" t="s">
        <v>271</v>
      </c>
      <c r="E1421" s="387">
        <v>1082</v>
      </c>
      <c r="F1421" s="594" t="s">
        <v>3727</v>
      </c>
      <c r="G1421" s="578">
        <v>98.91</v>
      </c>
      <c r="H1421" s="594">
        <v>3335622</v>
      </c>
      <c r="J1421" s="323" t="s">
        <v>3709</v>
      </c>
    </row>
    <row r="1422" spans="1:10" x14ac:dyDescent="0.25">
      <c r="A1422" s="321" t="s">
        <v>3558</v>
      </c>
      <c r="B1422" s="323" t="s">
        <v>0</v>
      </c>
      <c r="C1422" s="323" t="s">
        <v>238</v>
      </c>
      <c r="D1422" s="392" t="s">
        <v>1440</v>
      </c>
      <c r="E1422" s="387">
        <v>350418</v>
      </c>
      <c r="F1422" s="594" t="s">
        <v>3675</v>
      </c>
      <c r="G1422" s="578">
        <v>75.540000000000006</v>
      </c>
      <c r="H1422" s="594">
        <v>3335688</v>
      </c>
      <c r="J1422" s="323" t="s">
        <v>3667</v>
      </c>
    </row>
    <row r="1423" spans="1:10" x14ac:dyDescent="0.25">
      <c r="A1423" s="321" t="s">
        <v>3558</v>
      </c>
      <c r="B1423" s="323" t="s">
        <v>0</v>
      </c>
      <c r="C1423" s="323" t="s">
        <v>238</v>
      </c>
      <c r="D1423" s="392" t="s">
        <v>1810</v>
      </c>
      <c r="E1423" s="387">
        <v>350938</v>
      </c>
      <c r="F1423" s="594" t="s">
        <v>3764</v>
      </c>
      <c r="G1423" s="578">
        <v>297.95</v>
      </c>
      <c r="H1423" s="594">
        <v>3336608</v>
      </c>
      <c r="J1423" s="323" t="s">
        <v>3761</v>
      </c>
    </row>
    <row r="1424" spans="1:10" x14ac:dyDescent="0.25">
      <c r="A1424" s="321" t="s">
        <v>3558</v>
      </c>
      <c r="B1424" s="323" t="s">
        <v>0</v>
      </c>
      <c r="C1424" s="323" t="s">
        <v>238</v>
      </c>
      <c r="D1424" s="392" t="s">
        <v>2321</v>
      </c>
      <c r="E1424" s="387">
        <v>216838</v>
      </c>
      <c r="F1424" s="594" t="s">
        <v>3644</v>
      </c>
      <c r="G1424" s="578">
        <v>53.95</v>
      </c>
      <c r="H1424" s="594">
        <v>3337900</v>
      </c>
      <c r="J1424" s="323" t="s">
        <v>3643</v>
      </c>
    </row>
    <row r="1425" spans="1:10" x14ac:dyDescent="0.25">
      <c r="A1425" s="321" t="s">
        <v>3558</v>
      </c>
      <c r="B1425" s="323" t="s">
        <v>0</v>
      </c>
      <c r="C1425" s="323" t="s">
        <v>238</v>
      </c>
      <c r="D1425" s="392" t="s">
        <v>3721</v>
      </c>
      <c r="E1425" s="387">
        <v>352959</v>
      </c>
      <c r="F1425" s="594" t="s">
        <v>3731</v>
      </c>
      <c r="G1425" s="578">
        <v>128.9</v>
      </c>
      <c r="H1425" s="594">
        <v>3338326</v>
      </c>
      <c r="J1425" s="323" t="s">
        <v>3713</v>
      </c>
    </row>
    <row r="1426" spans="1:10" x14ac:dyDescent="0.25">
      <c r="A1426" s="321" t="s">
        <v>3558</v>
      </c>
      <c r="B1426" s="323" t="s">
        <v>0</v>
      </c>
      <c r="C1426" s="323" t="s">
        <v>238</v>
      </c>
      <c r="D1426" s="392" t="s">
        <v>3463</v>
      </c>
      <c r="E1426" s="387">
        <v>353864</v>
      </c>
      <c r="F1426" s="594"/>
      <c r="G1426" s="578">
        <v>84.98</v>
      </c>
      <c r="H1426" s="594"/>
      <c r="J1426" s="323" t="s">
        <v>2374</v>
      </c>
    </row>
    <row r="1427" spans="1:10" x14ac:dyDescent="0.25">
      <c r="A1427" s="321" t="s">
        <v>3558</v>
      </c>
      <c r="B1427" s="323" t="s">
        <v>0</v>
      </c>
      <c r="C1427" s="323" t="s">
        <v>238</v>
      </c>
      <c r="D1427" s="392" t="s">
        <v>59</v>
      </c>
      <c r="E1427" s="387">
        <v>350569</v>
      </c>
      <c r="F1427" s="594" t="s">
        <v>3649</v>
      </c>
      <c r="G1427" s="578">
        <v>59.95</v>
      </c>
      <c r="H1427" s="597">
        <v>3297948</v>
      </c>
      <c r="J1427" s="323" t="s">
        <v>3645</v>
      </c>
    </row>
    <row r="1428" spans="1:10" x14ac:dyDescent="0.25">
      <c r="A1428" s="321" t="s">
        <v>3558</v>
      </c>
      <c r="B1428" s="323" t="s">
        <v>0</v>
      </c>
      <c r="C1428" s="323" t="s">
        <v>238</v>
      </c>
      <c r="D1428" s="392" t="s">
        <v>2376</v>
      </c>
      <c r="E1428" s="387">
        <v>350334</v>
      </c>
      <c r="F1428" s="594" t="s">
        <v>3589</v>
      </c>
      <c r="G1428" s="578">
        <v>38.049999999999997</v>
      </c>
      <c r="H1428" s="597">
        <v>3303010</v>
      </c>
      <c r="J1428" s="323" t="s">
        <v>3588</v>
      </c>
    </row>
    <row r="1429" spans="1:10" x14ac:dyDescent="0.25">
      <c r="A1429" s="321" t="s">
        <v>3558</v>
      </c>
      <c r="B1429" s="323" t="s">
        <v>0</v>
      </c>
      <c r="C1429" s="323" t="s">
        <v>238</v>
      </c>
      <c r="D1429" s="392" t="s">
        <v>3598</v>
      </c>
      <c r="E1429" s="387">
        <v>351447</v>
      </c>
      <c r="F1429" s="594" t="s">
        <v>3601</v>
      </c>
      <c r="G1429" s="578">
        <v>43.35</v>
      </c>
      <c r="H1429" s="597">
        <v>3304767</v>
      </c>
      <c r="J1429" s="323" t="s">
        <v>3595</v>
      </c>
    </row>
    <row r="1430" spans="1:10" x14ac:dyDescent="0.25">
      <c r="A1430" s="321" t="s">
        <v>3558</v>
      </c>
      <c r="B1430" s="323" t="s">
        <v>0</v>
      </c>
      <c r="C1430" s="323" t="s">
        <v>238</v>
      </c>
      <c r="D1430" s="392" t="s">
        <v>3673</v>
      </c>
      <c r="E1430" s="387">
        <v>352666</v>
      </c>
      <c r="F1430" s="594" t="s">
        <v>3678</v>
      </c>
      <c r="G1430" s="578">
        <v>78.45</v>
      </c>
      <c r="H1430" s="597">
        <v>3307089</v>
      </c>
      <c r="J1430" s="323" t="s">
        <v>3670</v>
      </c>
    </row>
    <row r="1431" spans="1:10" x14ac:dyDescent="0.25">
      <c r="A1431" s="321" t="s">
        <v>3558</v>
      </c>
      <c r="B1431" s="323" t="s">
        <v>0</v>
      </c>
      <c r="C1431" s="323" t="s">
        <v>238</v>
      </c>
      <c r="D1431" s="392" t="s">
        <v>3346</v>
      </c>
      <c r="E1431" s="387">
        <v>350404</v>
      </c>
      <c r="F1431" s="594" t="s">
        <v>3676</v>
      </c>
      <c r="G1431" s="578">
        <v>76.05</v>
      </c>
      <c r="H1431" s="597">
        <v>3307706</v>
      </c>
      <c r="J1431" s="323" t="s">
        <v>3668</v>
      </c>
    </row>
    <row r="1432" spans="1:10" x14ac:dyDescent="0.25">
      <c r="A1432" s="321" t="s">
        <v>3558</v>
      </c>
      <c r="B1432" s="323" t="s">
        <v>0</v>
      </c>
      <c r="C1432" s="323" t="s">
        <v>238</v>
      </c>
      <c r="D1432" s="392" t="s">
        <v>3460</v>
      </c>
      <c r="E1432" s="387">
        <v>351428</v>
      </c>
      <c r="F1432" s="594" t="s">
        <v>3758</v>
      </c>
      <c r="G1432" s="578">
        <v>185.95</v>
      </c>
      <c r="H1432" s="597">
        <v>3308162</v>
      </c>
      <c r="J1432" s="323" t="s">
        <v>3755</v>
      </c>
    </row>
    <row r="1433" spans="1:10" x14ac:dyDescent="0.25">
      <c r="A1433" s="321" t="s">
        <v>3558</v>
      </c>
      <c r="B1433" s="323" t="s">
        <v>0</v>
      </c>
      <c r="C1433" s="323" t="s">
        <v>238</v>
      </c>
      <c r="D1433" s="392" t="s">
        <v>181</v>
      </c>
      <c r="E1433" s="387">
        <v>351215</v>
      </c>
      <c r="F1433" s="594" t="s">
        <v>3570</v>
      </c>
      <c r="G1433" s="578">
        <v>67</v>
      </c>
      <c r="H1433" s="597">
        <v>3308247</v>
      </c>
      <c r="J1433" s="323" t="s">
        <v>3569</v>
      </c>
    </row>
    <row r="1434" spans="1:10" x14ac:dyDescent="0.25">
      <c r="A1434" s="321" t="s">
        <v>3558</v>
      </c>
      <c r="B1434" s="323" t="s">
        <v>0</v>
      </c>
      <c r="C1434" s="323" t="s">
        <v>238</v>
      </c>
      <c r="D1434" s="392" t="s">
        <v>2729</v>
      </c>
      <c r="E1434" s="387">
        <v>350799</v>
      </c>
      <c r="F1434" s="594" t="s">
        <v>3777</v>
      </c>
      <c r="G1434" s="578">
        <v>133.94999999999999</v>
      </c>
      <c r="H1434" s="597">
        <v>3308964</v>
      </c>
      <c r="J1434" s="323" t="s">
        <v>3715</v>
      </c>
    </row>
    <row r="1435" spans="1:10" x14ac:dyDescent="0.25">
      <c r="A1435" s="321" t="s">
        <v>3558</v>
      </c>
      <c r="B1435" s="323" t="s">
        <v>0</v>
      </c>
      <c r="C1435" s="323" t="s">
        <v>238</v>
      </c>
      <c r="D1435" s="392" t="s">
        <v>3575</v>
      </c>
      <c r="E1435" s="387">
        <v>352058</v>
      </c>
      <c r="F1435" s="594" t="s">
        <v>3576</v>
      </c>
      <c r="G1435" s="578">
        <v>26.95</v>
      </c>
      <c r="H1435" s="597">
        <v>3309239</v>
      </c>
      <c r="J1435" s="323" t="s">
        <v>3574</v>
      </c>
    </row>
    <row r="1436" spans="1:10" x14ac:dyDescent="0.25">
      <c r="A1436" s="321" t="s">
        <v>3558</v>
      </c>
      <c r="B1436" s="323" t="s">
        <v>0</v>
      </c>
      <c r="C1436" s="323" t="s">
        <v>238</v>
      </c>
      <c r="D1436" s="392" t="s">
        <v>1019</v>
      </c>
      <c r="E1436" s="387">
        <v>220059</v>
      </c>
      <c r="F1436" s="594" t="s">
        <v>3640</v>
      </c>
      <c r="G1436" s="578">
        <v>58.38</v>
      </c>
      <c r="H1436" s="597">
        <v>3310016</v>
      </c>
      <c r="J1436" s="323" t="s">
        <v>3625</v>
      </c>
    </row>
    <row r="1437" spans="1:10" x14ac:dyDescent="0.25">
      <c r="A1437" s="321" t="s">
        <v>3558</v>
      </c>
      <c r="B1437" s="323" t="s">
        <v>0</v>
      </c>
      <c r="C1437" s="323" t="s">
        <v>238</v>
      </c>
      <c r="D1437" s="392" t="s">
        <v>2116</v>
      </c>
      <c r="E1437" s="387">
        <v>212814</v>
      </c>
      <c r="F1437" s="594" t="s">
        <v>3664</v>
      </c>
      <c r="G1437" s="578">
        <v>69.95</v>
      </c>
      <c r="H1437" s="597">
        <v>3310317</v>
      </c>
      <c r="J1437" s="323" t="s">
        <v>3655</v>
      </c>
    </row>
    <row r="1438" spans="1:10" x14ac:dyDescent="0.25">
      <c r="A1438" s="321" t="s">
        <v>3558</v>
      </c>
      <c r="B1438" s="323" t="s">
        <v>0</v>
      </c>
      <c r="C1438" s="323" t="s">
        <v>238</v>
      </c>
      <c r="D1438" s="392" t="s">
        <v>3258</v>
      </c>
      <c r="E1438" s="387">
        <v>350189</v>
      </c>
      <c r="F1438" s="594" t="s">
        <v>3759</v>
      </c>
      <c r="G1438" s="578">
        <v>186.24</v>
      </c>
      <c r="H1438" s="597">
        <v>3311361</v>
      </c>
      <c r="J1438" s="323" t="s">
        <v>3756</v>
      </c>
    </row>
    <row r="1439" spans="1:10" x14ac:dyDescent="0.25">
      <c r="A1439" s="321" t="s">
        <v>3558</v>
      </c>
      <c r="B1439" s="323" t="s">
        <v>0</v>
      </c>
      <c r="C1439" s="323" t="s">
        <v>238</v>
      </c>
      <c r="D1439" s="392" t="s">
        <v>2131</v>
      </c>
      <c r="E1439" s="387">
        <v>351829</v>
      </c>
      <c r="F1439" s="594" t="s">
        <v>3568</v>
      </c>
      <c r="G1439" s="578">
        <v>47.9</v>
      </c>
      <c r="H1439" s="597">
        <v>3311806</v>
      </c>
      <c r="J1439" s="323" t="s">
        <v>3567</v>
      </c>
    </row>
    <row r="1440" spans="1:10" x14ac:dyDescent="0.25">
      <c r="A1440" s="321" t="s">
        <v>3558</v>
      </c>
      <c r="B1440" s="323" t="s">
        <v>0</v>
      </c>
      <c r="C1440" s="323" t="s">
        <v>238</v>
      </c>
      <c r="D1440" s="392" t="s">
        <v>3773</v>
      </c>
      <c r="E1440" s="387">
        <v>1134</v>
      </c>
      <c r="F1440" s="594" t="s">
        <v>3774</v>
      </c>
      <c r="G1440" s="578">
        <v>297.98</v>
      </c>
      <c r="H1440" s="597">
        <v>3312880</v>
      </c>
      <c r="J1440" s="323" t="s">
        <v>3772</v>
      </c>
    </row>
    <row r="1441" spans="1:10" x14ac:dyDescent="0.25">
      <c r="A1441" s="321" t="s">
        <v>3558</v>
      </c>
      <c r="B1441" s="323" t="s">
        <v>0</v>
      </c>
      <c r="C1441" s="323" t="s">
        <v>238</v>
      </c>
      <c r="D1441" s="392" t="s">
        <v>1677</v>
      </c>
      <c r="E1441" s="387">
        <v>350432</v>
      </c>
      <c r="F1441" s="594" t="s">
        <v>3746</v>
      </c>
      <c r="G1441" s="578">
        <v>141.32</v>
      </c>
      <c r="H1441" s="597">
        <v>3312896</v>
      </c>
      <c r="J1441" s="323" t="s">
        <v>3738</v>
      </c>
    </row>
    <row r="1442" spans="1:10" x14ac:dyDescent="0.25">
      <c r="A1442" s="321" t="s">
        <v>3558</v>
      </c>
      <c r="B1442" s="323" t="s">
        <v>0</v>
      </c>
      <c r="C1442" s="323" t="s">
        <v>238</v>
      </c>
      <c r="D1442" s="392" t="s">
        <v>1442</v>
      </c>
      <c r="E1442" s="387">
        <v>223340</v>
      </c>
      <c r="F1442" s="594" t="s">
        <v>3704</v>
      </c>
      <c r="G1442" s="578">
        <v>100.88</v>
      </c>
      <c r="H1442" s="597">
        <v>3313021</v>
      </c>
      <c r="J1442" s="323" t="s">
        <v>3703</v>
      </c>
    </row>
    <row r="1443" spans="1:10" x14ac:dyDescent="0.25">
      <c r="A1443" s="321" t="s">
        <v>3558</v>
      </c>
      <c r="B1443" s="323" t="s">
        <v>0</v>
      </c>
      <c r="C1443" s="323" t="s">
        <v>238</v>
      </c>
      <c r="D1443" s="392" t="s">
        <v>3333</v>
      </c>
      <c r="E1443" s="387">
        <v>352004</v>
      </c>
      <c r="F1443" s="594" t="s">
        <v>3730</v>
      </c>
      <c r="G1443" s="578">
        <v>127.95</v>
      </c>
      <c r="H1443" s="597">
        <v>3313855</v>
      </c>
      <c r="J1443" s="323" t="s">
        <v>3712</v>
      </c>
    </row>
    <row r="1444" spans="1:10" x14ac:dyDescent="0.25">
      <c r="A1444" s="321" t="s">
        <v>3558</v>
      </c>
      <c r="B1444" s="323" t="s">
        <v>0</v>
      </c>
      <c r="C1444" s="323" t="s">
        <v>238</v>
      </c>
      <c r="D1444" s="392" t="s">
        <v>3611</v>
      </c>
      <c r="E1444" s="387">
        <v>352618</v>
      </c>
      <c r="F1444" s="594" t="s">
        <v>3639</v>
      </c>
      <c r="G1444" s="578">
        <v>57.45</v>
      </c>
      <c r="H1444" s="597">
        <v>3314260</v>
      </c>
      <c r="J1444" s="323" t="s">
        <v>3624</v>
      </c>
    </row>
    <row r="1445" spans="1:10" x14ac:dyDescent="0.25">
      <c r="A1445" s="321" t="s">
        <v>3558</v>
      </c>
      <c r="B1445" s="323" t="s">
        <v>0</v>
      </c>
      <c r="C1445" s="323" t="s">
        <v>238</v>
      </c>
      <c r="D1445" s="392" t="s">
        <v>2382</v>
      </c>
      <c r="E1445" s="387">
        <v>350251</v>
      </c>
      <c r="F1445" s="594" t="s">
        <v>3752</v>
      </c>
      <c r="G1445" s="578">
        <v>108.07</v>
      </c>
      <c r="H1445" s="597">
        <v>3314976</v>
      </c>
      <c r="J1445" s="323" t="s">
        <v>3751</v>
      </c>
    </row>
    <row r="1446" spans="1:10" x14ac:dyDescent="0.25">
      <c r="A1446" s="321" t="s">
        <v>3558</v>
      </c>
      <c r="B1446" s="323" t="s">
        <v>0</v>
      </c>
      <c r="C1446" s="323" t="s">
        <v>238</v>
      </c>
      <c r="D1446" s="392" t="s">
        <v>2489</v>
      </c>
      <c r="E1446" s="387">
        <v>350567</v>
      </c>
      <c r="F1446" s="594" t="s">
        <v>3686</v>
      </c>
      <c r="G1446" s="578">
        <v>82.63</v>
      </c>
      <c r="H1446" s="597">
        <v>3315263</v>
      </c>
      <c r="J1446" s="323" t="s">
        <v>3680</v>
      </c>
    </row>
    <row r="1447" spans="1:10" x14ac:dyDescent="0.25">
      <c r="A1447" s="321" t="s">
        <v>3558</v>
      </c>
      <c r="B1447" s="323" t="s">
        <v>0</v>
      </c>
      <c r="C1447" s="323" t="s">
        <v>238</v>
      </c>
      <c r="D1447" s="392" t="s">
        <v>396</v>
      </c>
      <c r="E1447" s="387">
        <v>350503</v>
      </c>
      <c r="F1447" s="594" t="s">
        <v>3587</v>
      </c>
      <c r="G1447" s="578">
        <v>31.92</v>
      </c>
      <c r="H1447" s="597">
        <v>3315267</v>
      </c>
      <c r="J1447" s="323" t="s">
        <v>3583</v>
      </c>
    </row>
    <row r="1448" spans="1:10" x14ac:dyDescent="0.25">
      <c r="A1448" s="321" t="s">
        <v>3558</v>
      </c>
      <c r="B1448" s="323" t="s">
        <v>0</v>
      </c>
      <c r="C1448" s="323" t="s">
        <v>238</v>
      </c>
      <c r="D1448" s="392" t="s">
        <v>2181</v>
      </c>
      <c r="E1448" s="387">
        <v>351964</v>
      </c>
      <c r="F1448" s="594" t="s">
        <v>3735</v>
      </c>
      <c r="G1448" s="578">
        <v>137.72</v>
      </c>
      <c r="H1448" s="597">
        <v>3315301</v>
      </c>
      <c r="J1448" s="323" t="s">
        <v>3718</v>
      </c>
    </row>
    <row r="1449" spans="1:10" x14ac:dyDescent="0.25">
      <c r="A1449" s="321" t="s">
        <v>3558</v>
      </c>
      <c r="B1449" s="323" t="s">
        <v>0</v>
      </c>
      <c r="C1449" s="323" t="s">
        <v>238</v>
      </c>
      <c r="D1449" s="392" t="s">
        <v>3743</v>
      </c>
      <c r="E1449" s="387">
        <v>350435</v>
      </c>
      <c r="F1449" s="594" t="s">
        <v>3747</v>
      </c>
      <c r="G1449" s="578">
        <v>144.18</v>
      </c>
      <c r="H1449" s="597">
        <v>3315439</v>
      </c>
      <c r="J1449" s="323" t="s">
        <v>3739</v>
      </c>
    </row>
    <row r="1450" spans="1:10" x14ac:dyDescent="0.25">
      <c r="A1450" s="321" t="s">
        <v>3558</v>
      </c>
      <c r="B1450" s="323" t="s">
        <v>0</v>
      </c>
      <c r="C1450" s="323" t="s">
        <v>238</v>
      </c>
      <c r="D1450" s="392" t="s">
        <v>2847</v>
      </c>
      <c r="E1450" s="387">
        <v>353471</v>
      </c>
      <c r="F1450" s="594" t="s">
        <v>3605</v>
      </c>
      <c r="G1450" s="578">
        <v>48.41</v>
      </c>
      <c r="H1450" s="597">
        <v>3315692</v>
      </c>
      <c r="J1450" s="323" t="s">
        <v>3604</v>
      </c>
    </row>
    <row r="1451" spans="1:10" x14ac:dyDescent="0.25">
      <c r="A1451" s="321" t="s">
        <v>3558</v>
      </c>
      <c r="B1451" s="323" t="s">
        <v>0</v>
      </c>
      <c r="C1451" s="323" t="s">
        <v>238</v>
      </c>
      <c r="D1451" s="392" t="s">
        <v>3599</v>
      </c>
      <c r="E1451" s="387">
        <v>352929</v>
      </c>
      <c r="F1451" s="594" t="s">
        <v>3602</v>
      </c>
      <c r="G1451" s="578">
        <v>46.91</v>
      </c>
      <c r="H1451" s="597">
        <v>3315849</v>
      </c>
      <c r="J1451" s="323" t="s">
        <v>3596</v>
      </c>
    </row>
    <row r="1452" spans="1:10" x14ac:dyDescent="0.25">
      <c r="A1452" s="321" t="s">
        <v>3558</v>
      </c>
      <c r="B1452" s="323" t="s">
        <v>0</v>
      </c>
      <c r="C1452" s="323" t="s">
        <v>238</v>
      </c>
      <c r="D1452" s="392" t="s">
        <v>3684</v>
      </c>
      <c r="E1452" s="387">
        <v>351799</v>
      </c>
      <c r="F1452" s="594" t="s">
        <v>3688</v>
      </c>
      <c r="G1452" s="578">
        <v>84.95</v>
      </c>
      <c r="H1452" s="597">
        <v>3315922</v>
      </c>
      <c r="J1452" s="323" t="s">
        <v>3682</v>
      </c>
    </row>
    <row r="1453" spans="1:10" x14ac:dyDescent="0.25">
      <c r="A1453" s="321" t="s">
        <v>3558</v>
      </c>
      <c r="B1453" s="323" t="s">
        <v>0</v>
      </c>
      <c r="C1453" s="323" t="s">
        <v>238</v>
      </c>
      <c r="D1453" s="392" t="s">
        <v>2944</v>
      </c>
      <c r="E1453" s="387">
        <v>351282</v>
      </c>
      <c r="F1453" s="594" t="s">
        <v>3765</v>
      </c>
      <c r="G1453" s="578">
        <v>297.95</v>
      </c>
      <c r="H1453" s="597">
        <v>3316302</v>
      </c>
      <c r="J1453" s="323" t="s">
        <v>3762</v>
      </c>
    </row>
    <row r="1454" spans="1:10" x14ac:dyDescent="0.25">
      <c r="A1454" s="321" t="s">
        <v>3558</v>
      </c>
      <c r="B1454" s="323" t="s">
        <v>0</v>
      </c>
      <c r="C1454" s="323" t="s">
        <v>238</v>
      </c>
      <c r="D1454" s="392" t="s">
        <v>1932</v>
      </c>
      <c r="E1454" s="387">
        <v>351665</v>
      </c>
      <c r="F1454" s="594" t="s">
        <v>3749</v>
      </c>
      <c r="G1454" s="578">
        <v>147.35</v>
      </c>
      <c r="H1454" s="597">
        <v>3316311</v>
      </c>
      <c r="J1454" s="323" t="s">
        <v>3741</v>
      </c>
    </row>
    <row r="1455" spans="1:10" x14ac:dyDescent="0.25">
      <c r="A1455" s="321" t="s">
        <v>3558</v>
      </c>
      <c r="B1455" s="323" t="s">
        <v>0</v>
      </c>
      <c r="C1455" s="323" t="s">
        <v>238</v>
      </c>
      <c r="D1455" s="392" t="s">
        <v>1893</v>
      </c>
      <c r="E1455" s="387">
        <v>350450</v>
      </c>
      <c r="F1455" s="594" t="s">
        <v>3744</v>
      </c>
      <c r="G1455" s="578">
        <v>138.62</v>
      </c>
      <c r="H1455" s="597">
        <v>3317356</v>
      </c>
      <c r="J1455" s="323" t="s">
        <v>3736</v>
      </c>
    </row>
    <row r="1456" spans="1:10" x14ac:dyDescent="0.25">
      <c r="A1456" s="321" t="s">
        <v>3558</v>
      </c>
      <c r="B1456" s="323" t="s">
        <v>0</v>
      </c>
      <c r="C1456" s="323" t="s">
        <v>238</v>
      </c>
      <c r="D1456" s="392" t="s">
        <v>3720</v>
      </c>
      <c r="E1456" s="387">
        <v>352188</v>
      </c>
      <c r="F1456" s="594" t="s">
        <v>3729</v>
      </c>
      <c r="G1456" s="578">
        <v>124.92</v>
      </c>
      <c r="H1456" s="597">
        <v>3317401</v>
      </c>
      <c r="J1456" s="323" t="s">
        <v>3711</v>
      </c>
    </row>
    <row r="1457" spans="1:10" x14ac:dyDescent="0.25">
      <c r="A1457" s="321" t="s">
        <v>3558</v>
      </c>
      <c r="B1457" s="323" t="s">
        <v>0</v>
      </c>
      <c r="C1457" s="323" t="s">
        <v>238</v>
      </c>
      <c r="D1457" s="392" t="s">
        <v>2166</v>
      </c>
      <c r="E1457" s="387">
        <v>221729</v>
      </c>
      <c r="F1457" s="594" t="s">
        <v>3734</v>
      </c>
      <c r="G1457" s="578">
        <v>135.85</v>
      </c>
      <c r="H1457" s="597">
        <v>3318728</v>
      </c>
      <c r="J1457" s="323" t="s">
        <v>3717</v>
      </c>
    </row>
    <row r="1458" spans="1:10" x14ac:dyDescent="0.25">
      <c r="A1458" s="321" t="s">
        <v>3558</v>
      </c>
      <c r="B1458" s="323" t="s">
        <v>0</v>
      </c>
      <c r="C1458" s="323" t="s">
        <v>238</v>
      </c>
      <c r="D1458" s="392" t="s">
        <v>3660</v>
      </c>
      <c r="E1458" s="387">
        <v>350478</v>
      </c>
      <c r="F1458" s="594" t="s">
        <v>3665</v>
      </c>
      <c r="G1458" s="578">
        <v>72.95</v>
      </c>
      <c r="H1458" s="597">
        <v>3318915</v>
      </c>
      <c r="J1458" s="323" t="s">
        <v>3656</v>
      </c>
    </row>
    <row r="1459" spans="1:10" x14ac:dyDescent="0.25">
      <c r="A1459" s="321" t="s">
        <v>3558</v>
      </c>
      <c r="B1459" s="323" t="s">
        <v>0</v>
      </c>
      <c r="C1459" s="323" t="s">
        <v>238</v>
      </c>
      <c r="D1459" s="392" t="s">
        <v>3564</v>
      </c>
      <c r="E1459" s="387">
        <v>351812</v>
      </c>
      <c r="F1459" s="594" t="s">
        <v>3565</v>
      </c>
      <c r="G1459" s="578">
        <v>201.9</v>
      </c>
      <c r="H1459" s="597">
        <v>3319728</v>
      </c>
      <c r="J1459" s="323" t="s">
        <v>3563</v>
      </c>
    </row>
    <row r="1460" spans="1:10" x14ac:dyDescent="0.25">
      <c r="A1460" s="321" t="s">
        <v>3558</v>
      </c>
      <c r="B1460" s="323" t="s">
        <v>0</v>
      </c>
      <c r="C1460" s="323" t="s">
        <v>238</v>
      </c>
      <c r="D1460" s="392" t="s">
        <v>3606</v>
      </c>
      <c r="E1460" s="387">
        <v>351629</v>
      </c>
      <c r="F1460" s="594" t="s">
        <v>3628</v>
      </c>
      <c r="G1460" s="578">
        <v>49.7</v>
      </c>
      <c r="H1460" s="597">
        <v>3320541</v>
      </c>
      <c r="J1460" s="323" t="s">
        <v>3613</v>
      </c>
    </row>
    <row r="1461" spans="1:10" x14ac:dyDescent="0.25">
      <c r="A1461" s="321" t="s">
        <v>3558</v>
      </c>
      <c r="B1461" s="323" t="s">
        <v>0</v>
      </c>
      <c r="C1461" s="323" t="s">
        <v>238</v>
      </c>
      <c r="D1461" s="392" t="s">
        <v>3359</v>
      </c>
      <c r="E1461" s="387">
        <v>351525</v>
      </c>
      <c r="F1461" s="594" t="s">
        <v>3723</v>
      </c>
      <c r="G1461" s="578">
        <v>117.85</v>
      </c>
      <c r="H1461" s="597">
        <v>3320618</v>
      </c>
      <c r="J1461" s="323" t="s">
        <v>3706</v>
      </c>
    </row>
    <row r="1462" spans="1:10" x14ac:dyDescent="0.25">
      <c r="A1462" s="321" t="s">
        <v>3558</v>
      </c>
      <c r="B1462" s="323" t="s">
        <v>0</v>
      </c>
      <c r="C1462" s="323" t="s">
        <v>238</v>
      </c>
      <c r="D1462" s="392" t="s">
        <v>3579</v>
      </c>
      <c r="E1462" s="387">
        <v>213270</v>
      </c>
      <c r="F1462" s="594" t="s">
        <v>3586</v>
      </c>
      <c r="G1462" s="578">
        <v>31.55</v>
      </c>
      <c r="H1462" s="597">
        <v>3323173</v>
      </c>
      <c r="J1462" s="323" t="s">
        <v>3582</v>
      </c>
    </row>
    <row r="1463" spans="1:10" x14ac:dyDescent="0.25">
      <c r="A1463" s="321" t="s">
        <v>3558</v>
      </c>
      <c r="B1463" s="323" t="s">
        <v>0</v>
      </c>
      <c r="C1463" s="323" t="s">
        <v>238</v>
      </c>
      <c r="D1463" s="392" t="s">
        <v>3767</v>
      </c>
      <c r="E1463" s="387">
        <v>426</v>
      </c>
      <c r="F1463" s="594" t="s">
        <v>3768</v>
      </c>
      <c r="G1463" s="578">
        <v>531.63</v>
      </c>
      <c r="H1463" s="597">
        <v>3323493</v>
      </c>
      <c r="J1463" s="323" t="s">
        <v>3766</v>
      </c>
    </row>
    <row r="1464" spans="1:10" x14ac:dyDescent="0.25">
      <c r="A1464" s="321" t="s">
        <v>3558</v>
      </c>
      <c r="B1464" s="323" t="s">
        <v>0</v>
      </c>
      <c r="C1464" s="323" t="s">
        <v>238</v>
      </c>
      <c r="D1464" s="392" t="s">
        <v>3659</v>
      </c>
      <c r="E1464" s="387">
        <v>350467</v>
      </c>
      <c r="F1464" s="594" t="s">
        <v>3663</v>
      </c>
      <c r="G1464" s="578">
        <v>62.85</v>
      </c>
      <c r="H1464" s="597">
        <v>3323614</v>
      </c>
      <c r="J1464" s="323" t="s">
        <v>3654</v>
      </c>
    </row>
    <row r="1465" spans="1:10" x14ac:dyDescent="0.25">
      <c r="A1465" s="321" t="s">
        <v>3558</v>
      </c>
      <c r="B1465" s="323" t="s">
        <v>0</v>
      </c>
      <c r="C1465" s="323" t="s">
        <v>238</v>
      </c>
      <c r="D1465" s="392" t="s">
        <v>1361</v>
      </c>
      <c r="E1465" s="387">
        <v>223640</v>
      </c>
      <c r="F1465" s="594" t="s">
        <v>3763</v>
      </c>
      <c r="G1465" s="578">
        <v>249.26</v>
      </c>
      <c r="H1465" s="597">
        <v>3323894</v>
      </c>
      <c r="J1465" s="323" t="s">
        <v>3760</v>
      </c>
    </row>
    <row r="1466" spans="1:10" x14ac:dyDescent="0.25">
      <c r="A1466" s="321" t="s">
        <v>3558</v>
      </c>
      <c r="B1466" s="323" t="s">
        <v>0</v>
      </c>
      <c r="C1466" s="323" t="s">
        <v>238</v>
      </c>
      <c r="D1466" s="392" t="s">
        <v>3610</v>
      </c>
      <c r="E1466" s="387">
        <v>350937</v>
      </c>
      <c r="F1466" s="594" t="s">
        <v>3636</v>
      </c>
      <c r="G1466" s="578">
        <v>54.57</v>
      </c>
      <c r="H1466" s="597">
        <v>3324463</v>
      </c>
      <c r="J1466" s="323" t="s">
        <v>3621</v>
      </c>
    </row>
    <row r="1467" spans="1:10" x14ac:dyDescent="0.25">
      <c r="A1467" s="321" t="s">
        <v>3558</v>
      </c>
      <c r="B1467" s="323" t="s">
        <v>0</v>
      </c>
      <c r="C1467" s="323" t="s">
        <v>238</v>
      </c>
      <c r="D1467" s="392" t="s">
        <v>3074</v>
      </c>
      <c r="E1467" s="387">
        <v>225933</v>
      </c>
      <c r="F1467" s="594" t="s">
        <v>3725</v>
      </c>
      <c r="G1467" s="578">
        <v>121.73</v>
      </c>
      <c r="H1467" s="597">
        <v>3325987</v>
      </c>
      <c r="J1467" s="323" t="s">
        <v>3708</v>
      </c>
    </row>
    <row r="1468" spans="1:10" x14ac:dyDescent="0.25">
      <c r="A1468" s="321" t="s">
        <v>3558</v>
      </c>
      <c r="B1468" s="323" t="s">
        <v>0</v>
      </c>
      <c r="C1468" s="323" t="s">
        <v>238</v>
      </c>
      <c r="D1468" s="392" t="s">
        <v>2307</v>
      </c>
      <c r="E1468" s="387">
        <v>351733</v>
      </c>
      <c r="F1468" s="594" t="s">
        <v>3732</v>
      </c>
      <c r="G1468" s="578">
        <v>130.94999999999999</v>
      </c>
      <c r="H1468" s="597">
        <v>3328336</v>
      </c>
      <c r="J1468" s="323" t="s">
        <v>3714</v>
      </c>
    </row>
    <row r="1469" spans="1:10" x14ac:dyDescent="0.25">
      <c r="A1469" s="321" t="s">
        <v>3558</v>
      </c>
      <c r="B1469" s="323" t="s">
        <v>0</v>
      </c>
      <c r="C1469" s="323" t="s">
        <v>238</v>
      </c>
      <c r="D1469" s="392" t="s">
        <v>1611</v>
      </c>
      <c r="E1469" s="387">
        <v>350903</v>
      </c>
      <c r="F1469" s="594" t="s">
        <v>3733</v>
      </c>
      <c r="G1469" s="578">
        <v>133.94999999999999</v>
      </c>
      <c r="H1469" s="597">
        <v>3328399</v>
      </c>
      <c r="J1469" s="323" t="s">
        <v>3716</v>
      </c>
    </row>
    <row r="1470" spans="1:10" x14ac:dyDescent="0.25">
      <c r="A1470" s="321" t="s">
        <v>3558</v>
      </c>
      <c r="B1470" s="323" t="s">
        <v>0</v>
      </c>
      <c r="C1470" s="323" t="s">
        <v>238</v>
      </c>
      <c r="D1470" s="392" t="s">
        <v>3719</v>
      </c>
      <c r="E1470" s="387">
        <v>351908</v>
      </c>
      <c r="F1470" s="594" t="s">
        <v>3724</v>
      </c>
      <c r="G1470" s="578">
        <v>118.61</v>
      </c>
      <c r="H1470" s="597">
        <v>3328561</v>
      </c>
      <c r="J1470" s="323" t="s">
        <v>3707</v>
      </c>
    </row>
    <row r="1471" spans="1:10" x14ac:dyDescent="0.25">
      <c r="A1471" s="321" t="s">
        <v>3558</v>
      </c>
      <c r="B1471" s="323" t="s">
        <v>0</v>
      </c>
      <c r="C1471" s="323" t="s">
        <v>238</v>
      </c>
      <c r="D1471" s="392" t="s">
        <v>243</v>
      </c>
      <c r="E1471" s="387">
        <v>350484</v>
      </c>
      <c r="F1471" s="594" t="s">
        <v>3757</v>
      </c>
      <c r="G1471" s="578">
        <v>184.52</v>
      </c>
      <c r="H1471" s="597">
        <v>3330167</v>
      </c>
      <c r="J1471" s="323" t="s">
        <v>3754</v>
      </c>
    </row>
    <row r="1472" spans="1:10" x14ac:dyDescent="0.25">
      <c r="A1472" s="321" t="s">
        <v>3558</v>
      </c>
      <c r="B1472" s="323" t="s">
        <v>0</v>
      </c>
      <c r="C1472" s="323" t="s">
        <v>238</v>
      </c>
      <c r="D1472" s="392" t="s">
        <v>3769</v>
      </c>
      <c r="E1472" s="387">
        <v>351171</v>
      </c>
      <c r="F1472" s="594" t="s">
        <v>3771</v>
      </c>
      <c r="G1472" s="578">
        <v>798</v>
      </c>
      <c r="H1472" s="597">
        <v>3330364</v>
      </c>
      <c r="J1472" s="323" t="s">
        <v>3770</v>
      </c>
    </row>
    <row r="1473" spans="1:10" x14ac:dyDescent="0.25">
      <c r="A1473" s="321" t="s">
        <v>3558</v>
      </c>
      <c r="B1473" s="323" t="s">
        <v>0</v>
      </c>
      <c r="C1473" s="323" t="s">
        <v>238</v>
      </c>
      <c r="D1473" s="392" t="s">
        <v>3564</v>
      </c>
      <c r="E1473" s="387">
        <v>351812</v>
      </c>
      <c r="F1473" s="594" t="s">
        <v>3566</v>
      </c>
      <c r="G1473" s="578">
        <v>141.6</v>
      </c>
      <c r="H1473" s="597">
        <v>3330718</v>
      </c>
      <c r="J1473" s="323" t="s">
        <v>3563</v>
      </c>
    </row>
    <row r="1474" spans="1:10" x14ac:dyDescent="0.25">
      <c r="A1474" s="321" t="s">
        <v>3558</v>
      </c>
      <c r="B1474" s="323" t="s">
        <v>0</v>
      </c>
      <c r="C1474" s="323" t="s">
        <v>238</v>
      </c>
      <c r="D1474" s="392" t="s">
        <v>2980</v>
      </c>
      <c r="E1474" s="387">
        <v>352420</v>
      </c>
      <c r="F1474" s="594" t="s">
        <v>3651</v>
      </c>
      <c r="G1474" s="578">
        <v>61.51</v>
      </c>
      <c r="H1474" s="597">
        <v>3330891</v>
      </c>
      <c r="J1474" s="323" t="s">
        <v>3647</v>
      </c>
    </row>
    <row r="1475" spans="1:10" x14ac:dyDescent="0.25">
      <c r="A1475" s="321" t="s">
        <v>3558</v>
      </c>
      <c r="B1475" s="323" t="s">
        <v>0</v>
      </c>
      <c r="C1475" s="323" t="s">
        <v>238</v>
      </c>
      <c r="D1475" s="392" t="s">
        <v>3607</v>
      </c>
      <c r="E1475" s="387">
        <v>226537</v>
      </c>
      <c r="F1475" s="594" t="s">
        <v>3629</v>
      </c>
      <c r="G1475" s="578">
        <v>49.95</v>
      </c>
      <c r="H1475" s="597">
        <v>3331260</v>
      </c>
      <c r="J1475" s="323" t="s">
        <v>3614</v>
      </c>
    </row>
    <row r="1476" spans="1:10" x14ac:dyDescent="0.25">
      <c r="A1476" s="321" t="s">
        <v>3558</v>
      </c>
      <c r="B1476" s="323" t="s">
        <v>0</v>
      </c>
      <c r="C1476" s="323" t="s">
        <v>238</v>
      </c>
      <c r="D1476" s="392" t="s">
        <v>68</v>
      </c>
      <c r="E1476" s="387">
        <v>351621</v>
      </c>
      <c r="F1476" s="594" t="s">
        <v>3591</v>
      </c>
      <c r="G1476" s="578">
        <v>19.899999999999999</v>
      </c>
      <c r="H1476" s="597">
        <v>3333148</v>
      </c>
      <c r="J1476" s="323" t="s">
        <v>3590</v>
      </c>
    </row>
    <row r="1477" spans="1:10" x14ac:dyDescent="0.25">
      <c r="A1477" s="321" t="s">
        <v>3558</v>
      </c>
      <c r="B1477" s="323" t="s">
        <v>0</v>
      </c>
      <c r="C1477" s="323" t="s">
        <v>238</v>
      </c>
      <c r="D1477" s="392" t="s">
        <v>3571</v>
      </c>
      <c r="E1477" s="387">
        <v>350626</v>
      </c>
      <c r="F1477" s="594" t="s">
        <v>3573</v>
      </c>
      <c r="G1477" s="578">
        <v>13.91</v>
      </c>
      <c r="H1477" s="597">
        <v>3335929</v>
      </c>
      <c r="J1477" s="323" t="s">
        <v>3572</v>
      </c>
    </row>
    <row r="1478" spans="1:10" x14ac:dyDescent="0.25">
      <c r="A1478" s="321" t="s">
        <v>3558</v>
      </c>
      <c r="B1478" s="323" t="s">
        <v>0</v>
      </c>
      <c r="C1478" s="323" t="s">
        <v>2688</v>
      </c>
      <c r="D1478" s="392" t="s">
        <v>3455</v>
      </c>
      <c r="E1478" s="387">
        <v>351461</v>
      </c>
      <c r="F1478" s="594" t="s">
        <v>3530</v>
      </c>
      <c r="G1478" s="578">
        <v>-106.2</v>
      </c>
      <c r="H1478" s="594">
        <v>3290561</v>
      </c>
      <c r="J1478" s="323" t="s">
        <v>3557</v>
      </c>
    </row>
    <row r="1479" spans="1:10" x14ac:dyDescent="0.25">
      <c r="A1479" s="321" t="s">
        <v>3558</v>
      </c>
      <c r="B1479" s="323" t="s">
        <v>0</v>
      </c>
      <c r="C1479" s="323" t="s">
        <v>2688</v>
      </c>
      <c r="D1479" s="392" t="s">
        <v>1274</v>
      </c>
      <c r="E1479" s="387">
        <v>350396</v>
      </c>
      <c r="F1479" s="594" t="s">
        <v>3519</v>
      </c>
      <c r="G1479" s="578">
        <v>-11.7</v>
      </c>
      <c r="H1479" s="594">
        <v>3292345</v>
      </c>
      <c r="J1479" s="323" t="s">
        <v>3561</v>
      </c>
    </row>
    <row r="1480" spans="1:10" x14ac:dyDescent="0.25">
      <c r="A1480" s="321" t="s">
        <v>3558</v>
      </c>
      <c r="B1480" s="323" t="s">
        <v>0</v>
      </c>
      <c r="D1480" s="392" t="s">
        <v>1522</v>
      </c>
      <c r="E1480" s="387">
        <v>351063</v>
      </c>
      <c r="F1480" s="594" t="s">
        <v>3560</v>
      </c>
      <c r="G1480" s="578">
        <v>-21</v>
      </c>
      <c r="H1480" s="594">
        <v>3215759</v>
      </c>
      <c r="J1480" s="323" t="s">
        <v>3559</v>
      </c>
    </row>
    <row r="1481" spans="1:10" x14ac:dyDescent="0.25">
      <c r="A1481" s="321" t="s">
        <v>3558</v>
      </c>
      <c r="B1481" s="323" t="s">
        <v>0</v>
      </c>
      <c r="C1481" s="323" t="s">
        <v>2689</v>
      </c>
      <c r="D1481" s="392" t="s">
        <v>3578</v>
      </c>
      <c r="E1481" s="387">
        <v>350771</v>
      </c>
      <c r="F1481" s="594" t="s">
        <v>3585</v>
      </c>
      <c r="G1481" s="578">
        <v>30.65</v>
      </c>
      <c r="H1481" s="597">
        <v>3307784</v>
      </c>
      <c r="J1481" s="323" t="s">
        <v>3581</v>
      </c>
    </row>
    <row r="1482" spans="1:10" x14ac:dyDescent="0.25">
      <c r="A1482" s="321" t="s">
        <v>3558</v>
      </c>
      <c r="B1482" s="323" t="s">
        <v>0</v>
      </c>
      <c r="C1482" s="323" t="s">
        <v>238</v>
      </c>
      <c r="D1482" s="392" t="s">
        <v>1459</v>
      </c>
      <c r="E1482" s="387">
        <v>211617</v>
      </c>
      <c r="F1482" s="594" t="s">
        <v>3637</v>
      </c>
      <c r="G1482" s="578">
        <v>54.95</v>
      </c>
      <c r="H1482" s="597">
        <v>3311490</v>
      </c>
      <c r="J1482" s="323" t="s">
        <v>3622</v>
      </c>
    </row>
    <row r="1483" spans="1:10" x14ac:dyDescent="0.25">
      <c r="A1483" s="321" t="s">
        <v>3558</v>
      </c>
      <c r="B1483" s="323" t="s">
        <v>0</v>
      </c>
      <c r="C1483" s="323" t="s">
        <v>2689</v>
      </c>
      <c r="D1483" s="392" t="s">
        <v>3672</v>
      </c>
      <c r="E1483" s="387">
        <v>350097</v>
      </c>
      <c r="F1483" s="594" t="s">
        <v>3677</v>
      </c>
      <c r="G1483" s="578">
        <v>77.150000000000006</v>
      </c>
      <c r="H1483" s="597">
        <v>3321808</v>
      </c>
      <c r="J1483" s="323" t="s">
        <v>3669</v>
      </c>
    </row>
    <row r="1484" spans="1:10" x14ac:dyDescent="0.25">
      <c r="A1484" s="321">
        <v>42913</v>
      </c>
      <c r="B1484" s="323" t="s">
        <v>127</v>
      </c>
      <c r="D1484" s="392" t="s">
        <v>181</v>
      </c>
      <c r="E1484" s="387">
        <v>351215</v>
      </c>
      <c r="F1484" s="594"/>
      <c r="G1484" s="578">
        <v>68.400000000000006</v>
      </c>
      <c r="H1484" s="597">
        <v>3314936</v>
      </c>
      <c r="J1484" s="323" t="s">
        <v>2573</v>
      </c>
    </row>
    <row r="1485" spans="1:10" x14ac:dyDescent="0.25">
      <c r="A1485" s="321">
        <v>42916</v>
      </c>
      <c r="B1485" s="323" t="s">
        <v>127</v>
      </c>
      <c r="D1485" s="392" t="s">
        <v>2130</v>
      </c>
      <c r="E1485" s="387">
        <v>214122</v>
      </c>
      <c r="F1485" s="594"/>
      <c r="G1485" s="578">
        <v>96.95</v>
      </c>
      <c r="H1485" s="597">
        <v>3330011</v>
      </c>
      <c r="J1485" s="323" t="s">
        <v>3494</v>
      </c>
    </row>
    <row r="1486" spans="1:10" x14ac:dyDescent="0.25">
      <c r="A1486" s="321">
        <v>42914</v>
      </c>
      <c r="B1486" s="323" t="s">
        <v>127</v>
      </c>
      <c r="D1486" s="392" t="s">
        <v>2779</v>
      </c>
      <c r="E1486" s="387">
        <v>507</v>
      </c>
      <c r="F1486" s="594"/>
      <c r="G1486" s="578">
        <v>31.75</v>
      </c>
      <c r="H1486" s="597">
        <v>3313543</v>
      </c>
      <c r="J1486" s="323" t="s">
        <v>3494</v>
      </c>
    </row>
    <row r="1487" spans="1:10" x14ac:dyDescent="0.25">
      <c r="A1487" s="321">
        <v>42892</v>
      </c>
      <c r="B1487" s="323" t="s">
        <v>127</v>
      </c>
      <c r="D1487" s="392" t="s">
        <v>1522</v>
      </c>
      <c r="E1487" s="387">
        <v>351063</v>
      </c>
      <c r="F1487" s="594"/>
      <c r="G1487" s="578">
        <v>222.4</v>
      </c>
      <c r="H1487" s="597">
        <v>3215759</v>
      </c>
      <c r="J1487" s="323" t="s">
        <v>3775</v>
      </c>
    </row>
    <row r="1488" spans="1:10" x14ac:dyDescent="0.25">
      <c r="A1488" s="321">
        <v>42894</v>
      </c>
      <c r="B1488" s="323" t="s">
        <v>127</v>
      </c>
      <c r="D1488" s="392" t="s">
        <v>1440</v>
      </c>
      <c r="E1488" s="387">
        <v>350418</v>
      </c>
      <c r="F1488" s="594"/>
      <c r="G1488" s="578">
        <f>11.26+114.85</f>
        <v>126.11</v>
      </c>
      <c r="H1488" s="597">
        <v>3206258</v>
      </c>
      <c r="J1488" s="323" t="s">
        <v>3778</v>
      </c>
    </row>
    <row r="1489" spans="1:10" x14ac:dyDescent="0.25">
      <c r="A1489" s="321" t="s">
        <v>3783</v>
      </c>
      <c r="B1489" s="323" t="s">
        <v>0</v>
      </c>
      <c r="C1489" s="323" t="s">
        <v>238</v>
      </c>
      <c r="D1489" s="392" t="s">
        <v>3814</v>
      </c>
      <c r="E1489" s="387">
        <v>350521</v>
      </c>
      <c r="F1489" s="594" t="s">
        <v>3817</v>
      </c>
      <c r="G1489" s="578">
        <v>49.16</v>
      </c>
      <c r="H1489" s="597">
        <v>3316658</v>
      </c>
      <c r="I1489" s="597"/>
      <c r="J1489" s="323" t="s">
        <v>3815</v>
      </c>
    </row>
    <row r="1490" spans="1:10" x14ac:dyDescent="0.25">
      <c r="A1490" s="321" t="s">
        <v>3783</v>
      </c>
      <c r="B1490" s="323" t="s">
        <v>0</v>
      </c>
      <c r="C1490" s="323" t="s">
        <v>238</v>
      </c>
      <c r="D1490" s="392" t="s">
        <v>3846</v>
      </c>
      <c r="E1490" s="387">
        <v>353396</v>
      </c>
      <c r="F1490" s="594" t="s">
        <v>3851</v>
      </c>
      <c r="G1490" s="578">
        <v>64.260000000000005</v>
      </c>
      <c r="H1490" s="597">
        <v>3323682</v>
      </c>
      <c r="J1490" s="323" t="s">
        <v>3837</v>
      </c>
    </row>
    <row r="1491" spans="1:10" x14ac:dyDescent="0.25">
      <c r="A1491" s="321" t="s">
        <v>3783</v>
      </c>
      <c r="B1491" s="323" t="s">
        <v>0</v>
      </c>
      <c r="C1491" s="323" t="s">
        <v>238</v>
      </c>
      <c r="D1491" s="392" t="s">
        <v>2215</v>
      </c>
      <c r="E1491" s="387">
        <v>214512</v>
      </c>
      <c r="F1491" s="594" t="s">
        <v>3810</v>
      </c>
      <c r="G1491" s="578">
        <v>37.42</v>
      </c>
      <c r="H1491" s="597">
        <v>3331155</v>
      </c>
      <c r="I1491" s="597"/>
      <c r="J1491" s="323" t="s">
        <v>3798</v>
      </c>
    </row>
    <row r="1492" spans="1:10" x14ac:dyDescent="0.25">
      <c r="A1492" s="321" t="s">
        <v>3783</v>
      </c>
      <c r="B1492" s="323" t="s">
        <v>0</v>
      </c>
      <c r="C1492" s="323" t="s">
        <v>238</v>
      </c>
      <c r="D1492" s="392" t="s">
        <v>3849</v>
      </c>
      <c r="E1492" s="387">
        <v>216035</v>
      </c>
      <c r="F1492" s="594" t="s">
        <v>3855</v>
      </c>
      <c r="G1492" s="578">
        <v>68.84</v>
      </c>
      <c r="H1492" s="597">
        <v>3333591</v>
      </c>
      <c r="J1492" s="323" t="s">
        <v>3842</v>
      </c>
    </row>
    <row r="1493" spans="1:10" x14ac:dyDescent="0.25">
      <c r="A1493" s="321" t="s">
        <v>3783</v>
      </c>
      <c r="B1493" s="323" t="s">
        <v>0</v>
      </c>
      <c r="C1493" s="323" t="s">
        <v>238</v>
      </c>
      <c r="D1493" s="392" t="s">
        <v>2320</v>
      </c>
      <c r="E1493" s="387">
        <v>351288</v>
      </c>
      <c r="F1493" s="594" t="s">
        <v>3834</v>
      </c>
      <c r="G1493" s="578">
        <v>58.96</v>
      </c>
      <c r="H1493" s="597">
        <v>3346591</v>
      </c>
      <c r="I1493" s="328"/>
      <c r="J1493" s="323" t="s">
        <v>3824</v>
      </c>
    </row>
    <row r="1494" spans="1:10" x14ac:dyDescent="0.25">
      <c r="A1494" s="321" t="s">
        <v>3783</v>
      </c>
      <c r="B1494" s="323" t="s">
        <v>0</v>
      </c>
      <c r="C1494" s="323" t="s">
        <v>2831</v>
      </c>
      <c r="D1494" s="392" t="s">
        <v>3873</v>
      </c>
      <c r="E1494" s="387">
        <v>271</v>
      </c>
      <c r="F1494" s="594" t="s">
        <v>3877</v>
      </c>
      <c r="G1494" s="578">
        <v>94.1</v>
      </c>
      <c r="H1494" s="597">
        <v>3350026</v>
      </c>
      <c r="J1494" s="323" t="s">
        <v>3869</v>
      </c>
    </row>
    <row r="1495" spans="1:10" x14ac:dyDescent="0.25">
      <c r="A1495" s="321" t="s">
        <v>3783</v>
      </c>
      <c r="B1495" s="323" t="s">
        <v>0</v>
      </c>
      <c r="C1495" s="323" t="s">
        <v>238</v>
      </c>
      <c r="D1495" s="392" t="s">
        <v>3038</v>
      </c>
      <c r="E1495" s="387">
        <v>352927</v>
      </c>
      <c r="F1495" s="594" t="s">
        <v>3804</v>
      </c>
      <c r="G1495" s="578">
        <v>35.159999999999997</v>
      </c>
      <c r="H1495" s="597">
        <v>3352463</v>
      </c>
      <c r="I1495" s="597"/>
      <c r="J1495" s="323" t="s">
        <v>3797</v>
      </c>
    </row>
    <row r="1496" spans="1:10" x14ac:dyDescent="0.25">
      <c r="A1496" s="321" t="s">
        <v>3783</v>
      </c>
      <c r="B1496" s="323" t="s">
        <v>0</v>
      </c>
      <c r="C1496" s="323" t="s">
        <v>238</v>
      </c>
      <c r="D1496" s="392" t="s">
        <v>1550</v>
      </c>
      <c r="E1496" s="387">
        <v>350154</v>
      </c>
      <c r="F1496" s="594" t="s">
        <v>3874</v>
      </c>
      <c r="G1496" s="578">
        <v>88.64</v>
      </c>
      <c r="H1496" s="597">
        <v>3353464</v>
      </c>
      <c r="J1496" s="323" t="s">
        <v>3865</v>
      </c>
    </row>
    <row r="1497" spans="1:10" x14ac:dyDescent="0.25">
      <c r="A1497" s="321" t="s">
        <v>3783</v>
      </c>
      <c r="B1497" s="323" t="s">
        <v>0</v>
      </c>
      <c r="C1497" s="323" t="s">
        <v>238</v>
      </c>
      <c r="D1497" s="392" t="s">
        <v>3795</v>
      </c>
      <c r="E1497" s="387">
        <v>219860</v>
      </c>
      <c r="F1497" s="594" t="s">
        <v>3808</v>
      </c>
      <c r="G1497" s="578">
        <v>39.9</v>
      </c>
      <c r="H1497" s="597">
        <v>3362126</v>
      </c>
      <c r="I1497" s="597"/>
      <c r="J1497" s="323" t="s">
        <v>3802</v>
      </c>
    </row>
    <row r="1498" spans="1:10" x14ac:dyDescent="0.25">
      <c r="A1498" s="321" t="s">
        <v>3783</v>
      </c>
      <c r="B1498" s="323" t="s">
        <v>0</v>
      </c>
      <c r="C1498" s="323" t="s">
        <v>238</v>
      </c>
      <c r="D1498" s="392" t="s">
        <v>2252</v>
      </c>
      <c r="E1498" s="387">
        <v>215141</v>
      </c>
      <c r="F1498" s="594" t="s">
        <v>3818</v>
      </c>
      <c r="G1498" s="578">
        <v>51</v>
      </c>
      <c r="H1498" s="597">
        <v>3362301</v>
      </c>
      <c r="I1498" s="597"/>
      <c r="J1498" s="323" t="s">
        <v>3816</v>
      </c>
    </row>
    <row r="1499" spans="1:10" x14ac:dyDescent="0.25">
      <c r="A1499" s="321" t="s">
        <v>3783</v>
      </c>
      <c r="B1499" s="323" t="s">
        <v>0</v>
      </c>
      <c r="C1499" s="323" t="s">
        <v>238</v>
      </c>
      <c r="D1499" s="392" t="s">
        <v>2381</v>
      </c>
      <c r="E1499" s="387">
        <v>352903</v>
      </c>
      <c r="F1499" s="594" t="s">
        <v>3939</v>
      </c>
      <c r="G1499" s="578">
        <v>51.19</v>
      </c>
      <c r="H1499" s="597">
        <v>3362496</v>
      </c>
      <c r="J1499" s="323" t="s">
        <v>3942</v>
      </c>
    </row>
    <row r="1500" spans="1:10" x14ac:dyDescent="0.25">
      <c r="A1500" s="321" t="s">
        <v>3783</v>
      </c>
      <c r="B1500" s="323" t="s">
        <v>0</v>
      </c>
      <c r="C1500" s="323" t="s">
        <v>238</v>
      </c>
      <c r="D1500" s="392" t="s">
        <v>3872</v>
      </c>
      <c r="E1500" s="387">
        <v>103484</v>
      </c>
      <c r="F1500" s="594" t="s">
        <v>3876</v>
      </c>
      <c r="G1500" s="578">
        <v>93.95</v>
      </c>
      <c r="H1500" s="597">
        <v>3362597</v>
      </c>
      <c r="J1500" s="323" t="s">
        <v>3868</v>
      </c>
    </row>
    <row r="1501" spans="1:10" x14ac:dyDescent="0.25">
      <c r="A1501" s="321" t="s">
        <v>3783</v>
      </c>
      <c r="B1501" s="323" t="s">
        <v>0</v>
      </c>
      <c r="C1501" s="323" t="s">
        <v>238</v>
      </c>
      <c r="D1501" s="392" t="s">
        <v>2782</v>
      </c>
      <c r="E1501" s="387">
        <v>351490</v>
      </c>
      <c r="F1501" s="594" t="s">
        <v>3813</v>
      </c>
      <c r="G1501" s="578">
        <v>42.95</v>
      </c>
      <c r="H1501" s="597">
        <v>3362793</v>
      </c>
      <c r="I1501" s="597"/>
      <c r="J1501" s="323" t="s">
        <v>3811</v>
      </c>
    </row>
    <row r="1502" spans="1:10" x14ac:dyDescent="0.25">
      <c r="A1502" s="321" t="s">
        <v>3783</v>
      </c>
      <c r="B1502" s="323" t="s">
        <v>0</v>
      </c>
      <c r="C1502" s="323" t="s">
        <v>238</v>
      </c>
      <c r="D1502" s="392" t="s">
        <v>1549</v>
      </c>
      <c r="E1502" s="387">
        <v>214089</v>
      </c>
      <c r="F1502" s="594" t="s">
        <v>3909</v>
      </c>
      <c r="G1502" s="578">
        <v>150.19999999999999</v>
      </c>
      <c r="H1502" s="597">
        <v>3331364</v>
      </c>
      <c r="I1502" s="597"/>
      <c r="J1502" s="323" t="s">
        <v>3903</v>
      </c>
    </row>
    <row r="1503" spans="1:10" x14ac:dyDescent="0.25">
      <c r="A1503" s="321" t="s">
        <v>3783</v>
      </c>
      <c r="B1503" s="323" t="s">
        <v>0</v>
      </c>
      <c r="C1503" s="323" t="s">
        <v>238</v>
      </c>
      <c r="D1503" s="392" t="s">
        <v>2073</v>
      </c>
      <c r="E1503" s="387">
        <v>352603</v>
      </c>
      <c r="F1503" s="594" t="s">
        <v>3788</v>
      </c>
      <c r="G1503" s="578">
        <v>16.95</v>
      </c>
      <c r="H1503" s="597">
        <v>3332039</v>
      </c>
      <c r="I1503" s="597"/>
      <c r="J1503" s="323" t="s">
        <v>3787</v>
      </c>
    </row>
    <row r="1504" spans="1:10" x14ac:dyDescent="0.25">
      <c r="A1504" s="321" t="s">
        <v>3783</v>
      </c>
      <c r="B1504" s="323" t="s">
        <v>0</v>
      </c>
      <c r="C1504" s="323" t="s">
        <v>238</v>
      </c>
      <c r="D1504" s="392" t="s">
        <v>2957</v>
      </c>
      <c r="E1504" s="387">
        <v>351562</v>
      </c>
      <c r="F1504" s="594" t="s">
        <v>3896</v>
      </c>
      <c r="G1504" s="578">
        <v>104.95</v>
      </c>
      <c r="H1504" s="597">
        <v>3333696</v>
      </c>
      <c r="I1504" s="597"/>
      <c r="J1504" s="323" t="s">
        <v>3882</v>
      </c>
    </row>
    <row r="1505" spans="1:10" x14ac:dyDescent="0.25">
      <c r="A1505" s="321" t="s">
        <v>3783</v>
      </c>
      <c r="B1505" s="323" t="s">
        <v>0</v>
      </c>
      <c r="C1505" s="323" t="s">
        <v>238</v>
      </c>
      <c r="D1505" s="392" t="s">
        <v>1487</v>
      </c>
      <c r="E1505" s="387">
        <v>351448</v>
      </c>
      <c r="F1505" s="594" t="s">
        <v>3910</v>
      </c>
      <c r="G1505" s="578">
        <v>134.9</v>
      </c>
      <c r="H1505" s="597">
        <v>3337631</v>
      </c>
      <c r="I1505" s="597"/>
      <c r="J1505" s="323" t="s">
        <v>3900</v>
      </c>
    </row>
    <row r="1506" spans="1:10" x14ac:dyDescent="0.25">
      <c r="A1506" s="321" t="s">
        <v>3783</v>
      </c>
      <c r="B1506" s="323" t="s">
        <v>0</v>
      </c>
      <c r="C1506" s="323" t="s">
        <v>238</v>
      </c>
      <c r="D1506" s="392" t="s">
        <v>3862</v>
      </c>
      <c r="E1506" s="387">
        <v>350838</v>
      </c>
      <c r="F1506" s="594" t="s">
        <v>3863</v>
      </c>
      <c r="G1506" s="578">
        <v>83.9</v>
      </c>
      <c r="H1506" s="597">
        <v>3338142</v>
      </c>
      <c r="I1506" s="597"/>
      <c r="J1506" s="323" t="s">
        <v>3860</v>
      </c>
    </row>
    <row r="1507" spans="1:10" x14ac:dyDescent="0.25">
      <c r="A1507" s="321" t="s">
        <v>3783</v>
      </c>
      <c r="B1507" s="323" t="s">
        <v>0</v>
      </c>
      <c r="C1507" s="323" t="s">
        <v>238</v>
      </c>
      <c r="D1507" s="392" t="s">
        <v>3923</v>
      </c>
      <c r="E1507" s="387">
        <v>225589</v>
      </c>
      <c r="F1507" s="594" t="s">
        <v>3927</v>
      </c>
      <c r="G1507" s="578">
        <v>259.89999999999998</v>
      </c>
      <c r="H1507" s="597">
        <v>3339537</v>
      </c>
      <c r="I1507" s="597"/>
      <c r="J1507" s="323" t="s">
        <v>3920</v>
      </c>
    </row>
    <row r="1508" spans="1:10" x14ac:dyDescent="0.25">
      <c r="A1508" s="321" t="s">
        <v>3783</v>
      </c>
      <c r="B1508" s="323" t="s">
        <v>0</v>
      </c>
      <c r="C1508" s="323" t="s">
        <v>238</v>
      </c>
      <c r="D1508" s="392" t="s">
        <v>181</v>
      </c>
      <c r="E1508" s="387">
        <v>351215</v>
      </c>
      <c r="F1508" s="594" t="s">
        <v>3782</v>
      </c>
      <c r="G1508" s="578">
        <v>55</v>
      </c>
      <c r="H1508" s="597">
        <v>3339609</v>
      </c>
      <c r="I1508" s="597"/>
      <c r="J1508" s="323" t="s">
        <v>3781</v>
      </c>
    </row>
    <row r="1509" spans="1:10" x14ac:dyDescent="0.25">
      <c r="A1509" s="321" t="s">
        <v>3783</v>
      </c>
      <c r="B1509" s="323" t="s">
        <v>0</v>
      </c>
      <c r="C1509" s="323" t="s">
        <v>238</v>
      </c>
      <c r="D1509" s="392" t="s">
        <v>94</v>
      </c>
      <c r="E1509" s="387">
        <v>350522</v>
      </c>
      <c r="F1509" s="594" t="s">
        <v>3858</v>
      </c>
      <c r="G1509" s="578">
        <v>70.95</v>
      </c>
      <c r="H1509" s="597">
        <v>3339819</v>
      </c>
      <c r="I1509" s="597"/>
      <c r="J1509" s="323" t="s">
        <v>3845</v>
      </c>
    </row>
    <row r="1510" spans="1:10" x14ac:dyDescent="0.25">
      <c r="A1510" s="321" t="s">
        <v>3783</v>
      </c>
      <c r="B1510" s="323" t="s">
        <v>0</v>
      </c>
      <c r="C1510" s="323" t="s">
        <v>238</v>
      </c>
      <c r="D1510" s="392" t="s">
        <v>3871</v>
      </c>
      <c r="E1510" s="387">
        <v>351213</v>
      </c>
      <c r="F1510" s="594" t="s">
        <v>3879</v>
      </c>
      <c r="G1510" s="578">
        <v>89.89</v>
      </c>
      <c r="H1510" s="597">
        <v>3339862</v>
      </c>
      <c r="I1510" s="597"/>
      <c r="J1510" s="323" t="s">
        <v>3866</v>
      </c>
    </row>
    <row r="1511" spans="1:10" x14ac:dyDescent="0.25">
      <c r="A1511" s="321" t="s">
        <v>3783</v>
      </c>
      <c r="B1511" s="323" t="s">
        <v>0</v>
      </c>
      <c r="C1511" s="323" t="s">
        <v>238</v>
      </c>
      <c r="D1511" s="392" t="s">
        <v>3847</v>
      </c>
      <c r="E1511" s="387">
        <v>214246</v>
      </c>
      <c r="F1511" s="594" t="s">
        <v>3859</v>
      </c>
      <c r="G1511" s="578">
        <v>64.3</v>
      </c>
      <c r="H1511" s="597">
        <v>3340224</v>
      </c>
      <c r="I1511" s="597"/>
      <c r="J1511" s="323" t="s">
        <v>3838</v>
      </c>
    </row>
    <row r="1512" spans="1:10" x14ac:dyDescent="0.25">
      <c r="A1512" s="321" t="s">
        <v>3783</v>
      </c>
      <c r="B1512" s="323" t="s">
        <v>0</v>
      </c>
      <c r="C1512" s="323" t="s">
        <v>238</v>
      </c>
      <c r="D1512" s="392" t="s">
        <v>3922</v>
      </c>
      <c r="E1512" s="387">
        <v>226779</v>
      </c>
      <c r="F1512" s="594" t="s">
        <v>3928</v>
      </c>
      <c r="G1512" s="578">
        <v>223</v>
      </c>
      <c r="H1512" s="597">
        <v>3340594</v>
      </c>
      <c r="I1512" s="597"/>
      <c r="J1512" s="323" t="s">
        <v>3917</v>
      </c>
    </row>
    <row r="1513" spans="1:10" x14ac:dyDescent="0.25">
      <c r="A1513" s="321" t="s">
        <v>3783</v>
      </c>
      <c r="B1513" s="323" t="s">
        <v>0</v>
      </c>
      <c r="C1513" s="323" t="s">
        <v>238</v>
      </c>
      <c r="D1513" s="392" t="s">
        <v>2114</v>
      </c>
      <c r="E1513" s="387">
        <v>215864</v>
      </c>
      <c r="F1513" s="594" t="s">
        <v>3852</v>
      </c>
      <c r="G1513" s="578">
        <v>64.95</v>
      </c>
      <c r="H1513" s="597">
        <v>3341519</v>
      </c>
      <c r="I1513" s="597"/>
      <c r="J1513" s="323" t="s">
        <v>3839</v>
      </c>
    </row>
    <row r="1514" spans="1:10" x14ac:dyDescent="0.25">
      <c r="A1514" s="321" t="s">
        <v>3783</v>
      </c>
      <c r="B1514" s="323" t="s">
        <v>0</v>
      </c>
      <c r="C1514" s="323" t="s">
        <v>238</v>
      </c>
      <c r="D1514" s="392" t="s">
        <v>3889</v>
      </c>
      <c r="E1514" s="387">
        <v>213730</v>
      </c>
      <c r="F1514" s="594" t="s">
        <v>3893</v>
      </c>
      <c r="G1514" s="578">
        <v>118.95</v>
      </c>
      <c r="H1514" s="597">
        <v>3342053</v>
      </c>
      <c r="I1514" s="597"/>
      <c r="J1514" s="323" t="s">
        <v>3885</v>
      </c>
    </row>
    <row r="1515" spans="1:10" x14ac:dyDescent="0.25">
      <c r="A1515" s="321" t="s">
        <v>3783</v>
      </c>
      <c r="B1515" s="323" t="s">
        <v>0</v>
      </c>
      <c r="C1515" s="323" t="s">
        <v>238</v>
      </c>
      <c r="D1515" s="392" t="s">
        <v>3382</v>
      </c>
      <c r="E1515" s="387">
        <v>352540</v>
      </c>
      <c r="F1515" s="594" t="s">
        <v>3907</v>
      </c>
      <c r="G1515" s="578">
        <v>144.06</v>
      </c>
      <c r="H1515" s="597">
        <v>3342423</v>
      </c>
      <c r="I1515" s="597"/>
      <c r="J1515" s="323" t="s">
        <v>3901</v>
      </c>
    </row>
    <row r="1516" spans="1:10" x14ac:dyDescent="0.25">
      <c r="A1516" s="321" t="s">
        <v>3783</v>
      </c>
      <c r="B1516" s="323" t="s">
        <v>0</v>
      </c>
      <c r="C1516" s="323" t="s">
        <v>238</v>
      </c>
      <c r="D1516" s="392" t="s">
        <v>2531</v>
      </c>
      <c r="E1516" s="387">
        <v>352708</v>
      </c>
      <c r="F1516" s="594" t="s">
        <v>3925</v>
      </c>
      <c r="G1516" s="578">
        <v>228.8</v>
      </c>
      <c r="H1516" s="597">
        <v>3342705</v>
      </c>
      <c r="I1516" s="597"/>
      <c r="J1516" s="323" t="s">
        <v>3918</v>
      </c>
    </row>
    <row r="1517" spans="1:10" x14ac:dyDescent="0.25">
      <c r="A1517" s="321" t="s">
        <v>3783</v>
      </c>
      <c r="B1517" s="323" t="s">
        <v>0</v>
      </c>
      <c r="C1517" s="323" t="s">
        <v>238</v>
      </c>
      <c r="D1517" s="392" t="s">
        <v>2096</v>
      </c>
      <c r="E1517" s="387">
        <v>352367</v>
      </c>
      <c r="F1517" s="594" t="s">
        <v>3890</v>
      </c>
      <c r="G1517" s="578">
        <v>102.95</v>
      </c>
      <c r="H1517" s="597">
        <v>3342826</v>
      </c>
      <c r="I1517" s="597"/>
      <c r="J1517" s="323" t="s">
        <v>3881</v>
      </c>
    </row>
    <row r="1518" spans="1:10" x14ac:dyDescent="0.25">
      <c r="A1518" s="321" t="s">
        <v>3783</v>
      </c>
      <c r="B1518" s="323" t="s">
        <v>0</v>
      </c>
      <c r="C1518" s="323" t="s">
        <v>238</v>
      </c>
      <c r="D1518" s="392" t="s">
        <v>3905</v>
      </c>
      <c r="E1518" s="387">
        <v>352354</v>
      </c>
      <c r="F1518" s="594" t="s">
        <v>3908</v>
      </c>
      <c r="G1518" s="578">
        <v>144.91</v>
      </c>
      <c r="H1518" s="597">
        <v>3343896</v>
      </c>
      <c r="I1518" s="597"/>
      <c r="J1518" s="323" t="s">
        <v>3902</v>
      </c>
    </row>
    <row r="1519" spans="1:10" x14ac:dyDescent="0.25">
      <c r="A1519" s="321" t="s">
        <v>3783</v>
      </c>
      <c r="B1519" s="323" t="s">
        <v>0</v>
      </c>
      <c r="C1519" s="323" t="s">
        <v>238</v>
      </c>
      <c r="D1519" s="392" t="s">
        <v>1553</v>
      </c>
      <c r="E1519" s="387">
        <v>352456</v>
      </c>
      <c r="F1519" s="594" t="s">
        <v>3878</v>
      </c>
      <c r="G1519" s="578">
        <v>4.34</v>
      </c>
      <c r="H1519" s="597">
        <v>3344630</v>
      </c>
      <c r="I1519" s="597"/>
      <c r="J1519" s="323" t="s">
        <v>3870</v>
      </c>
    </row>
    <row r="1520" spans="1:10" x14ac:dyDescent="0.25">
      <c r="A1520" s="321" t="s">
        <v>3783</v>
      </c>
      <c r="B1520" s="323" t="s">
        <v>0</v>
      </c>
      <c r="C1520" s="323" t="s">
        <v>238</v>
      </c>
      <c r="D1520" s="392" t="s">
        <v>3359</v>
      </c>
      <c r="E1520" s="387">
        <v>351525</v>
      </c>
      <c r="F1520" s="594" t="s">
        <v>3898</v>
      </c>
      <c r="G1520" s="578">
        <v>127.9</v>
      </c>
      <c r="H1520" s="597">
        <v>3345606</v>
      </c>
      <c r="I1520" s="597"/>
      <c r="J1520" s="323" t="s">
        <v>3897</v>
      </c>
    </row>
    <row r="1521" spans="1:10" x14ac:dyDescent="0.25">
      <c r="A1521" s="321" t="s">
        <v>3783</v>
      </c>
      <c r="B1521" s="323" t="s">
        <v>0</v>
      </c>
      <c r="C1521" s="323" t="s">
        <v>238</v>
      </c>
      <c r="D1521" s="392" t="s">
        <v>3431</v>
      </c>
      <c r="E1521" s="387">
        <v>225968</v>
      </c>
      <c r="F1521" s="594" t="s">
        <v>3912</v>
      </c>
      <c r="G1521" s="578">
        <v>182.3</v>
      </c>
      <c r="H1521" s="597">
        <v>3345651</v>
      </c>
      <c r="I1521" s="597"/>
      <c r="J1521" s="323" t="s">
        <v>3911</v>
      </c>
    </row>
    <row r="1522" spans="1:10" x14ac:dyDescent="0.25">
      <c r="A1522" s="321" t="s">
        <v>3783</v>
      </c>
      <c r="B1522" s="323" t="s">
        <v>0</v>
      </c>
      <c r="C1522" s="323" t="s">
        <v>238</v>
      </c>
      <c r="D1522" s="392" t="s">
        <v>202</v>
      </c>
      <c r="E1522" s="387">
        <v>350412</v>
      </c>
      <c r="F1522" s="594" t="s">
        <v>3805</v>
      </c>
      <c r="G1522" s="578">
        <v>37.950000000000003</v>
      </c>
      <c r="H1522" s="597">
        <v>3348307</v>
      </c>
      <c r="I1522" s="597"/>
      <c r="J1522" s="323" t="s">
        <v>3799</v>
      </c>
    </row>
    <row r="1523" spans="1:10" x14ac:dyDescent="0.25">
      <c r="A1523" s="321" t="s">
        <v>3783</v>
      </c>
      <c r="B1523" s="323" t="s">
        <v>0</v>
      </c>
      <c r="C1523" s="323" t="s">
        <v>238</v>
      </c>
      <c r="D1523" s="392" t="s">
        <v>1019</v>
      </c>
      <c r="E1523" s="387">
        <v>220059</v>
      </c>
      <c r="F1523" s="594" t="s">
        <v>3914</v>
      </c>
      <c r="G1523" s="578">
        <v>139.13</v>
      </c>
      <c r="H1523" s="597">
        <v>3349693</v>
      </c>
      <c r="I1523" s="597"/>
      <c r="J1523" s="323" t="s">
        <v>3913</v>
      </c>
    </row>
    <row r="1524" spans="1:10" x14ac:dyDescent="0.25">
      <c r="A1524" s="321" t="s">
        <v>3783</v>
      </c>
      <c r="B1524" s="323" t="s">
        <v>0</v>
      </c>
      <c r="C1524" s="323" t="s">
        <v>238</v>
      </c>
      <c r="D1524" s="392" t="s">
        <v>3826</v>
      </c>
      <c r="E1524" s="387">
        <v>217492</v>
      </c>
      <c r="F1524" s="594" t="s">
        <v>3830</v>
      </c>
      <c r="G1524" s="578">
        <v>54.9</v>
      </c>
      <c r="H1524" s="597">
        <v>3349717</v>
      </c>
      <c r="I1524" s="597"/>
      <c r="J1524" s="323" t="s">
        <v>3819</v>
      </c>
    </row>
    <row r="1525" spans="1:10" x14ac:dyDescent="0.25">
      <c r="A1525" s="321" t="s">
        <v>3783</v>
      </c>
      <c r="B1525" s="323" t="s">
        <v>0</v>
      </c>
      <c r="C1525" s="323" t="s">
        <v>238</v>
      </c>
      <c r="D1525" s="392" t="s">
        <v>3888</v>
      </c>
      <c r="E1525" s="387">
        <v>352845</v>
      </c>
      <c r="F1525" s="594" t="s">
        <v>3892</v>
      </c>
      <c r="G1525" s="578">
        <v>116.31</v>
      </c>
      <c r="H1525" s="597">
        <v>3349788</v>
      </c>
      <c r="I1525" s="597"/>
      <c r="J1525" s="323" t="s">
        <v>3884</v>
      </c>
    </row>
    <row r="1526" spans="1:10" x14ac:dyDescent="0.25">
      <c r="A1526" s="321" t="s">
        <v>3783</v>
      </c>
      <c r="B1526" s="323" t="s">
        <v>0</v>
      </c>
      <c r="C1526" s="323" t="s">
        <v>238</v>
      </c>
      <c r="D1526" s="392" t="s">
        <v>2826</v>
      </c>
      <c r="E1526" s="387">
        <v>350822</v>
      </c>
      <c r="F1526" s="594" t="s">
        <v>3930</v>
      </c>
      <c r="G1526" s="578">
        <v>336.39</v>
      </c>
      <c r="H1526" s="597">
        <v>3350252</v>
      </c>
      <c r="I1526" s="597"/>
      <c r="J1526" s="323" t="s">
        <v>3929</v>
      </c>
    </row>
    <row r="1527" spans="1:10" x14ac:dyDescent="0.25">
      <c r="A1527" s="321" t="s">
        <v>3783</v>
      </c>
      <c r="B1527" s="323" t="s">
        <v>0</v>
      </c>
      <c r="C1527" s="323" t="s">
        <v>238</v>
      </c>
      <c r="D1527" s="392" t="s">
        <v>1019</v>
      </c>
      <c r="E1527" s="387">
        <v>220059</v>
      </c>
      <c r="F1527" s="594" t="s">
        <v>3915</v>
      </c>
      <c r="G1527" s="578">
        <v>69.010000000000005</v>
      </c>
      <c r="H1527" s="597">
        <v>3350574</v>
      </c>
      <c r="I1527" s="597"/>
      <c r="J1527" s="323" t="s">
        <v>3913</v>
      </c>
    </row>
    <row r="1528" spans="1:10" x14ac:dyDescent="0.25">
      <c r="A1528" s="321" t="s">
        <v>3783</v>
      </c>
      <c r="B1528" s="323" t="s">
        <v>0</v>
      </c>
      <c r="C1528" s="323" t="s">
        <v>238</v>
      </c>
      <c r="D1528" s="392" t="s">
        <v>222</v>
      </c>
      <c r="E1528" s="387">
        <v>350252</v>
      </c>
      <c r="F1528" s="594" t="s">
        <v>3895</v>
      </c>
      <c r="G1528" s="578">
        <v>121.9</v>
      </c>
      <c r="H1528" s="597">
        <v>3351308</v>
      </c>
      <c r="I1528" s="597"/>
      <c r="J1528" s="323" t="s">
        <v>3887</v>
      </c>
    </row>
    <row r="1529" spans="1:10" x14ac:dyDescent="0.25">
      <c r="A1529" s="321" t="s">
        <v>3783</v>
      </c>
      <c r="B1529" s="323" t="s">
        <v>0</v>
      </c>
      <c r="C1529" s="323" t="s">
        <v>238</v>
      </c>
      <c r="D1529" s="392" t="s">
        <v>1976</v>
      </c>
      <c r="E1529" s="387">
        <v>81855</v>
      </c>
      <c r="F1529" s="594" t="s">
        <v>3891</v>
      </c>
      <c r="G1529" s="578">
        <v>113.39</v>
      </c>
      <c r="H1529" s="597">
        <v>3351413</v>
      </c>
      <c r="I1529" s="597"/>
      <c r="J1529" s="323" t="s">
        <v>3883</v>
      </c>
    </row>
    <row r="1530" spans="1:10" x14ac:dyDescent="0.25">
      <c r="A1530" s="321" t="s">
        <v>3783</v>
      </c>
      <c r="B1530" s="323" t="s">
        <v>0</v>
      </c>
      <c r="C1530" s="323" t="s">
        <v>238</v>
      </c>
      <c r="D1530" s="392" t="s">
        <v>3796</v>
      </c>
      <c r="E1530" s="387">
        <v>350257</v>
      </c>
      <c r="F1530" s="594" t="s">
        <v>3809</v>
      </c>
      <c r="G1530" s="578">
        <v>41.85</v>
      </c>
      <c r="H1530" s="597">
        <v>3352566</v>
      </c>
      <c r="I1530" s="597"/>
      <c r="J1530" s="323" t="s">
        <v>3803</v>
      </c>
    </row>
    <row r="1531" spans="1:10" x14ac:dyDescent="0.25">
      <c r="A1531" s="321" t="s">
        <v>3783</v>
      </c>
      <c r="B1531" s="323" t="s">
        <v>0</v>
      </c>
      <c r="C1531" s="323" t="s">
        <v>238</v>
      </c>
      <c r="D1531" s="392" t="s">
        <v>2296</v>
      </c>
      <c r="E1531" s="387">
        <v>350452</v>
      </c>
      <c r="F1531" s="594" t="s">
        <v>3875</v>
      </c>
      <c r="G1531" s="578">
        <v>90.95</v>
      </c>
      <c r="H1531" s="597">
        <v>3352680</v>
      </c>
      <c r="I1531" s="597"/>
      <c r="J1531" s="323" t="s">
        <v>3867</v>
      </c>
    </row>
    <row r="1532" spans="1:10" x14ac:dyDescent="0.25">
      <c r="A1532" s="321" t="s">
        <v>3783</v>
      </c>
      <c r="B1532" s="323" t="s">
        <v>0</v>
      </c>
      <c r="C1532" s="323" t="s">
        <v>238</v>
      </c>
      <c r="D1532" s="392" t="s">
        <v>3935</v>
      </c>
      <c r="E1532" s="387">
        <v>351505</v>
      </c>
      <c r="F1532" s="594" t="s">
        <v>3936</v>
      </c>
      <c r="G1532" s="578">
        <v>704.9</v>
      </c>
      <c r="H1532" s="597">
        <v>3354869</v>
      </c>
      <c r="I1532" s="597"/>
      <c r="J1532" s="323" t="s">
        <v>3934</v>
      </c>
    </row>
    <row r="1533" spans="1:10" x14ac:dyDescent="0.25">
      <c r="A1533" s="321" t="s">
        <v>3783</v>
      </c>
      <c r="B1533" s="323" t="s">
        <v>0</v>
      </c>
      <c r="C1533" s="323" t="s">
        <v>238</v>
      </c>
      <c r="D1533" s="392" t="s">
        <v>3904</v>
      </c>
      <c r="E1533" s="387">
        <v>352441</v>
      </c>
      <c r="F1533" s="594" t="s">
        <v>3906</v>
      </c>
      <c r="G1533" s="578">
        <v>131.99</v>
      </c>
      <c r="H1533" s="597">
        <v>3354941</v>
      </c>
      <c r="I1533" s="597"/>
      <c r="J1533" s="323" t="s">
        <v>3899</v>
      </c>
    </row>
    <row r="1534" spans="1:10" x14ac:dyDescent="0.25">
      <c r="A1534" s="321" t="s">
        <v>3783</v>
      </c>
      <c r="B1534" s="323" t="s">
        <v>0</v>
      </c>
      <c r="C1534" s="323" t="s">
        <v>238</v>
      </c>
      <c r="D1534" s="392" t="s">
        <v>3611</v>
      </c>
      <c r="E1534" s="387">
        <v>352618</v>
      </c>
      <c r="F1534" s="594" t="s">
        <v>3926</v>
      </c>
      <c r="G1534" s="578">
        <v>140.85</v>
      </c>
      <c r="H1534" s="597">
        <v>3355079</v>
      </c>
      <c r="I1534" s="597"/>
      <c r="J1534" s="323" t="s">
        <v>3919</v>
      </c>
    </row>
    <row r="1535" spans="1:10" x14ac:dyDescent="0.25">
      <c r="A1535" s="321" t="s">
        <v>3783</v>
      </c>
      <c r="B1535" s="323" t="s">
        <v>0</v>
      </c>
      <c r="C1535" s="323" t="s">
        <v>238</v>
      </c>
      <c r="D1535" s="392" t="s">
        <v>3921</v>
      </c>
      <c r="E1535" s="387">
        <v>211781</v>
      </c>
      <c r="F1535" s="594" t="s">
        <v>3924</v>
      </c>
      <c r="G1535" s="578">
        <v>218.53</v>
      </c>
      <c r="H1535" s="597">
        <v>3355517</v>
      </c>
      <c r="I1535" s="597"/>
      <c r="J1535" s="323" t="s">
        <v>3916</v>
      </c>
    </row>
    <row r="1536" spans="1:10" x14ac:dyDescent="0.25">
      <c r="A1536" s="321" t="s">
        <v>3783</v>
      </c>
      <c r="B1536" s="323" t="s">
        <v>0</v>
      </c>
      <c r="C1536" s="323" t="s">
        <v>238</v>
      </c>
      <c r="D1536" s="392" t="s">
        <v>3266</v>
      </c>
      <c r="E1536" s="387">
        <v>353614</v>
      </c>
      <c r="F1536" s="594" t="s">
        <v>3833</v>
      </c>
      <c r="G1536" s="578">
        <v>58.95</v>
      </c>
      <c r="H1536" s="597">
        <v>3355542</v>
      </c>
      <c r="I1536" s="597"/>
      <c r="J1536" s="323" t="s">
        <v>3823</v>
      </c>
    </row>
    <row r="1537" spans="1:10" x14ac:dyDescent="0.25">
      <c r="A1537" s="321" t="s">
        <v>3783</v>
      </c>
      <c r="B1537" s="323" t="s">
        <v>0</v>
      </c>
      <c r="C1537" s="323" t="s">
        <v>238</v>
      </c>
      <c r="D1537" s="392" t="s">
        <v>3935</v>
      </c>
      <c r="E1537" s="387">
        <v>351505</v>
      </c>
      <c r="F1537" s="594" t="s">
        <v>3937</v>
      </c>
      <c r="G1537" s="578">
        <v>165.41</v>
      </c>
      <c r="H1537" s="597">
        <v>3356776</v>
      </c>
      <c r="I1537" s="597"/>
      <c r="J1537" s="323" t="s">
        <v>3934</v>
      </c>
    </row>
    <row r="1538" spans="1:10" x14ac:dyDescent="0.25">
      <c r="A1538" s="321" t="s">
        <v>3783</v>
      </c>
      <c r="B1538" s="323" t="s">
        <v>0</v>
      </c>
      <c r="C1538" s="323" t="s">
        <v>238</v>
      </c>
      <c r="D1538" s="392" t="s">
        <v>51</v>
      </c>
      <c r="E1538" s="387">
        <v>350433</v>
      </c>
      <c r="F1538" s="594" t="s">
        <v>3894</v>
      </c>
      <c r="G1538" s="578">
        <v>119.43</v>
      </c>
      <c r="H1538" s="597">
        <v>3357361</v>
      </c>
      <c r="I1538" s="597"/>
      <c r="J1538" s="323" t="s">
        <v>3886</v>
      </c>
    </row>
    <row r="1539" spans="1:10" x14ac:dyDescent="0.25">
      <c r="A1539" s="321" t="s">
        <v>3783</v>
      </c>
      <c r="B1539" s="323" t="s">
        <v>0</v>
      </c>
      <c r="C1539" s="323" t="s">
        <v>238</v>
      </c>
      <c r="D1539" s="392" t="s">
        <v>3828</v>
      </c>
      <c r="E1539" s="387">
        <v>352397</v>
      </c>
      <c r="F1539" s="594" t="s">
        <v>3832</v>
      </c>
      <c r="G1539" s="578">
        <v>57.68</v>
      </c>
      <c r="H1539" s="597">
        <v>3357548</v>
      </c>
      <c r="I1539" s="597"/>
      <c r="J1539" s="323" t="s">
        <v>3822</v>
      </c>
    </row>
    <row r="1540" spans="1:10" x14ac:dyDescent="0.25">
      <c r="A1540" s="321" t="s">
        <v>3783</v>
      </c>
      <c r="B1540" s="323" t="s">
        <v>0</v>
      </c>
      <c r="C1540" s="323" t="s">
        <v>238</v>
      </c>
      <c r="D1540" s="392" t="s">
        <v>1459</v>
      </c>
      <c r="E1540" s="387">
        <v>211617</v>
      </c>
      <c r="F1540" s="594" t="s">
        <v>3794</v>
      </c>
      <c r="G1540" s="578">
        <v>31.6</v>
      </c>
      <c r="H1540" s="597">
        <v>3357731</v>
      </c>
      <c r="I1540" s="597"/>
      <c r="J1540" s="323" t="s">
        <v>3791</v>
      </c>
    </row>
    <row r="1541" spans="1:10" x14ac:dyDescent="0.25">
      <c r="A1541" s="321" t="s">
        <v>3783</v>
      </c>
      <c r="B1541" s="323" t="s">
        <v>0</v>
      </c>
      <c r="C1541" s="323" t="s">
        <v>238</v>
      </c>
      <c r="D1541" s="392" t="s">
        <v>2151</v>
      </c>
      <c r="E1541" s="387">
        <v>213229</v>
      </c>
      <c r="F1541" s="594" t="s">
        <v>3864</v>
      </c>
      <c r="G1541" s="578">
        <v>86.82</v>
      </c>
      <c r="H1541" s="597">
        <v>3358940</v>
      </c>
      <c r="I1541" s="597"/>
      <c r="J1541" s="323" t="s">
        <v>3861</v>
      </c>
    </row>
    <row r="1542" spans="1:10" x14ac:dyDescent="0.25">
      <c r="A1542" s="321" t="s">
        <v>3783</v>
      </c>
      <c r="B1542" s="323" t="s">
        <v>0</v>
      </c>
      <c r="C1542" s="323" t="s">
        <v>238</v>
      </c>
      <c r="D1542" s="392" t="s">
        <v>3356</v>
      </c>
      <c r="E1542" s="387">
        <v>222966</v>
      </c>
      <c r="F1542" s="594" t="s">
        <v>3831</v>
      </c>
      <c r="G1542" s="578">
        <v>56.95</v>
      </c>
      <c r="H1542" s="597">
        <v>3358941</v>
      </c>
      <c r="I1542" s="597"/>
      <c r="J1542" s="323" t="s">
        <v>3821</v>
      </c>
    </row>
    <row r="1543" spans="1:10" x14ac:dyDescent="0.25">
      <c r="A1543" s="321" t="s">
        <v>3783</v>
      </c>
      <c r="B1543" s="323" t="s">
        <v>0</v>
      </c>
      <c r="C1543" s="323" t="s">
        <v>238</v>
      </c>
      <c r="D1543" s="392" t="s">
        <v>3785</v>
      </c>
      <c r="E1543" s="387">
        <v>350594</v>
      </c>
      <c r="F1543" s="594" t="s">
        <v>3786</v>
      </c>
      <c r="G1543" s="578">
        <v>15.85</v>
      </c>
      <c r="H1543" s="597">
        <v>3360020</v>
      </c>
      <c r="I1543" s="597"/>
      <c r="J1543" s="323" t="s">
        <v>3784</v>
      </c>
    </row>
    <row r="1544" spans="1:10" x14ac:dyDescent="0.25">
      <c r="A1544" s="321" t="s">
        <v>3783</v>
      </c>
      <c r="B1544" s="323" t="s">
        <v>0</v>
      </c>
      <c r="C1544" s="323" t="s">
        <v>238</v>
      </c>
      <c r="D1544" s="392" t="s">
        <v>1553</v>
      </c>
      <c r="E1544" s="387">
        <v>352456</v>
      </c>
      <c r="F1544" s="594" t="s">
        <v>3880</v>
      </c>
      <c r="G1544" s="578">
        <f>89.94</f>
        <v>89.94</v>
      </c>
      <c r="H1544" s="597">
        <v>3360072</v>
      </c>
      <c r="I1544" s="597"/>
      <c r="J1544" s="323" t="s">
        <v>3870</v>
      </c>
    </row>
    <row r="1545" spans="1:10" x14ac:dyDescent="0.25">
      <c r="A1545" s="321" t="s">
        <v>3783</v>
      </c>
      <c r="B1545" s="323" t="s">
        <v>0</v>
      </c>
      <c r="C1545" s="323" t="s">
        <v>238</v>
      </c>
      <c r="D1545" s="392" t="s">
        <v>3850</v>
      </c>
      <c r="E1545" s="387">
        <v>350927</v>
      </c>
      <c r="F1545" s="594" t="s">
        <v>3856</v>
      </c>
      <c r="G1545" s="578">
        <v>68.95</v>
      </c>
      <c r="H1545" s="597">
        <v>3360504</v>
      </c>
      <c r="I1545" s="597"/>
      <c r="J1545" s="323" t="s">
        <v>3843</v>
      </c>
    </row>
    <row r="1546" spans="1:10" x14ac:dyDescent="0.25">
      <c r="A1546" s="321" t="s">
        <v>3783</v>
      </c>
      <c r="B1546" s="323" t="s">
        <v>0</v>
      </c>
      <c r="C1546" s="323" t="s">
        <v>238</v>
      </c>
      <c r="D1546" s="392" t="s">
        <v>3042</v>
      </c>
      <c r="E1546" s="387">
        <v>352363</v>
      </c>
      <c r="F1546" s="594" t="s">
        <v>3857</v>
      </c>
      <c r="G1546" s="578">
        <v>69.95</v>
      </c>
      <c r="H1546" s="597">
        <v>3360623</v>
      </c>
      <c r="I1546" s="597"/>
      <c r="J1546" s="323" t="s">
        <v>3844</v>
      </c>
    </row>
    <row r="1547" spans="1:10" x14ac:dyDescent="0.25">
      <c r="A1547" s="321" t="s">
        <v>3783</v>
      </c>
      <c r="B1547" s="323" t="s">
        <v>0</v>
      </c>
      <c r="C1547" s="323" t="s">
        <v>238</v>
      </c>
      <c r="D1547" s="392" t="s">
        <v>3932</v>
      </c>
      <c r="E1547" s="387">
        <v>352504</v>
      </c>
      <c r="F1547" s="594" t="s">
        <v>3933</v>
      </c>
      <c r="G1547" s="578">
        <v>747.15</v>
      </c>
      <c r="H1547" s="597">
        <v>3361044</v>
      </c>
      <c r="I1547" s="597"/>
      <c r="J1547" s="323" t="s">
        <v>3931</v>
      </c>
    </row>
    <row r="1548" spans="1:10" x14ac:dyDescent="0.25">
      <c r="A1548" s="321" t="s">
        <v>3783</v>
      </c>
      <c r="B1548" s="323" t="s">
        <v>0</v>
      </c>
      <c r="C1548" s="323" t="s">
        <v>238</v>
      </c>
      <c r="D1548" s="392" t="s">
        <v>3938</v>
      </c>
      <c r="E1548" s="387">
        <v>353001</v>
      </c>
      <c r="F1548" s="594"/>
      <c r="G1548" s="578">
        <v>287.77</v>
      </c>
      <c r="H1548" s="597"/>
      <c r="I1548" s="597"/>
      <c r="J1548" s="323" t="s">
        <v>2374</v>
      </c>
    </row>
    <row r="1549" spans="1:10" x14ac:dyDescent="0.25">
      <c r="A1549" s="321" t="s">
        <v>3783</v>
      </c>
      <c r="B1549" s="323" t="s">
        <v>0</v>
      </c>
      <c r="C1549" s="323" t="s">
        <v>238</v>
      </c>
      <c r="D1549" s="392" t="s">
        <v>3940</v>
      </c>
      <c r="E1549" s="387">
        <v>353333</v>
      </c>
      <c r="F1549" s="594"/>
      <c r="G1549" s="578">
        <v>130.29</v>
      </c>
      <c r="H1549" s="597"/>
      <c r="I1549" s="597"/>
      <c r="J1549" s="323" t="s">
        <v>2374</v>
      </c>
    </row>
    <row r="1550" spans="1:10" x14ac:dyDescent="0.25">
      <c r="A1550" s="321" t="s">
        <v>3783</v>
      </c>
      <c r="B1550" s="323" t="s">
        <v>0</v>
      </c>
      <c r="C1550" s="323" t="s">
        <v>238</v>
      </c>
      <c r="D1550" s="392" t="s">
        <v>3941</v>
      </c>
      <c r="E1550" s="387">
        <v>352998</v>
      </c>
      <c r="F1550" s="594"/>
      <c r="G1550" s="578">
        <v>20.51</v>
      </c>
      <c r="H1550" s="597"/>
      <c r="I1550" s="597"/>
      <c r="J1550" s="323" t="s">
        <v>2374</v>
      </c>
    </row>
    <row r="1551" spans="1:10" x14ac:dyDescent="0.25">
      <c r="A1551" s="321" t="s">
        <v>3783</v>
      </c>
      <c r="B1551" s="323" t="s">
        <v>0</v>
      </c>
      <c r="C1551" s="323" t="s">
        <v>238</v>
      </c>
      <c r="D1551" s="392" t="s">
        <v>2943</v>
      </c>
      <c r="E1551" s="387">
        <v>352448</v>
      </c>
      <c r="F1551" s="594"/>
      <c r="G1551" s="578">
        <v>15.05</v>
      </c>
      <c r="H1551" s="597"/>
      <c r="I1551" s="597"/>
      <c r="J1551" s="323" t="s">
        <v>2374</v>
      </c>
    </row>
    <row r="1552" spans="1:10" x14ac:dyDescent="0.25">
      <c r="A1552" s="321" t="s">
        <v>3783</v>
      </c>
      <c r="B1552" s="323" t="s">
        <v>0</v>
      </c>
      <c r="C1552" s="323" t="s">
        <v>2689</v>
      </c>
      <c r="D1552" s="392" t="s">
        <v>1917</v>
      </c>
      <c r="E1552" s="387">
        <v>98384</v>
      </c>
      <c r="F1552" s="594" t="s">
        <v>3793</v>
      </c>
      <c r="G1552" s="578">
        <v>31.2</v>
      </c>
      <c r="H1552" s="597">
        <v>3342428</v>
      </c>
      <c r="J1552" s="323" t="s">
        <v>3790</v>
      </c>
    </row>
    <row r="1553" spans="1:10" x14ac:dyDescent="0.25">
      <c r="A1553" s="321" t="s">
        <v>3783</v>
      </c>
      <c r="B1553" s="323" t="s">
        <v>0</v>
      </c>
      <c r="C1553" s="323" t="s">
        <v>2689</v>
      </c>
      <c r="D1553" s="392" t="s">
        <v>2234</v>
      </c>
      <c r="E1553" s="387">
        <v>353018</v>
      </c>
      <c r="F1553" s="594" t="s">
        <v>3792</v>
      </c>
      <c r="G1553" s="578">
        <v>29.63</v>
      </c>
      <c r="H1553" s="597">
        <v>3362165</v>
      </c>
      <c r="J1553" s="323" t="s">
        <v>3789</v>
      </c>
    </row>
    <row r="1554" spans="1:10" x14ac:dyDescent="0.25">
      <c r="A1554" s="321" t="s">
        <v>3783</v>
      </c>
      <c r="B1554" s="323" t="s">
        <v>0</v>
      </c>
      <c r="C1554" s="323" t="s">
        <v>238</v>
      </c>
      <c r="D1554" s="392" t="s">
        <v>3829</v>
      </c>
      <c r="E1554" s="387">
        <v>350139</v>
      </c>
      <c r="F1554" s="594" t="s">
        <v>3835</v>
      </c>
      <c r="G1554" s="578">
        <v>59.45</v>
      </c>
      <c r="H1554" s="597">
        <v>3338617</v>
      </c>
      <c r="I1554" s="597"/>
      <c r="J1554" s="323" t="s">
        <v>3825</v>
      </c>
    </row>
    <row r="1555" spans="1:10" x14ac:dyDescent="0.25">
      <c r="A1555" s="321" t="s">
        <v>3783</v>
      </c>
      <c r="B1555" s="323" t="s">
        <v>0</v>
      </c>
      <c r="C1555" s="323" t="s">
        <v>238</v>
      </c>
      <c r="D1555" s="392" t="s">
        <v>3827</v>
      </c>
      <c r="E1555" s="387">
        <v>350496</v>
      </c>
      <c r="F1555" s="594" t="s">
        <v>3836</v>
      </c>
      <c r="G1555" s="578">
        <v>55.41</v>
      </c>
      <c r="H1555" s="597">
        <v>3348679</v>
      </c>
      <c r="I1555" s="597"/>
      <c r="J1555" s="323" t="s">
        <v>3820</v>
      </c>
    </row>
    <row r="1556" spans="1:10" x14ac:dyDescent="0.25">
      <c r="A1556" s="321" t="s">
        <v>3783</v>
      </c>
      <c r="B1556" s="323" t="s">
        <v>0</v>
      </c>
      <c r="C1556" s="323" t="s">
        <v>238</v>
      </c>
      <c r="D1556" s="392" t="s">
        <v>2977</v>
      </c>
      <c r="E1556" s="387">
        <v>351823</v>
      </c>
      <c r="F1556" s="594" t="s">
        <v>3806</v>
      </c>
      <c r="G1556" s="578">
        <v>38.75</v>
      </c>
      <c r="H1556" s="597">
        <v>3339190</v>
      </c>
      <c r="I1556" s="597"/>
      <c r="J1556" s="323" t="s">
        <v>3800</v>
      </c>
    </row>
    <row r="1557" spans="1:10" x14ac:dyDescent="0.25">
      <c r="A1557" s="321" t="s">
        <v>3783</v>
      </c>
      <c r="B1557" s="323" t="s">
        <v>0</v>
      </c>
      <c r="C1557" s="323" t="s">
        <v>238</v>
      </c>
      <c r="D1557" s="392" t="s">
        <v>1617</v>
      </c>
      <c r="E1557" s="387">
        <v>350855</v>
      </c>
      <c r="F1557" s="594" t="s">
        <v>3853</v>
      </c>
      <c r="G1557" s="578">
        <v>67.95</v>
      </c>
      <c r="H1557" s="597">
        <v>3345561</v>
      </c>
      <c r="I1557" s="597"/>
      <c r="J1557" s="323" t="s">
        <v>3840</v>
      </c>
    </row>
    <row r="1558" spans="1:10" x14ac:dyDescent="0.25">
      <c r="A1558" s="321" t="s">
        <v>3783</v>
      </c>
      <c r="B1558" s="323" t="s">
        <v>0</v>
      </c>
      <c r="C1558" s="323" t="s">
        <v>238</v>
      </c>
      <c r="D1558" s="392" t="s">
        <v>3298</v>
      </c>
      <c r="E1558" s="387">
        <v>350515</v>
      </c>
      <c r="F1558" s="594" t="s">
        <v>3807</v>
      </c>
      <c r="G1558" s="578">
        <v>39.25</v>
      </c>
      <c r="H1558" s="597">
        <v>3348659</v>
      </c>
      <c r="I1558" s="597"/>
      <c r="J1558" s="323" t="s">
        <v>3801</v>
      </c>
    </row>
    <row r="1559" spans="1:10" x14ac:dyDescent="0.25">
      <c r="A1559" s="321" t="s">
        <v>3783</v>
      </c>
      <c r="B1559" s="323" t="s">
        <v>0</v>
      </c>
      <c r="C1559" s="323" t="s">
        <v>238</v>
      </c>
      <c r="D1559" s="392" t="s">
        <v>2227</v>
      </c>
      <c r="E1559" s="387">
        <v>350458</v>
      </c>
      <c r="F1559" s="594" t="s">
        <v>3813</v>
      </c>
      <c r="G1559" s="578">
        <v>43.21</v>
      </c>
      <c r="H1559" s="597">
        <v>3348678</v>
      </c>
      <c r="I1559" s="597"/>
      <c r="J1559" s="323" t="s">
        <v>3812</v>
      </c>
    </row>
    <row r="1560" spans="1:10" x14ac:dyDescent="0.25">
      <c r="A1560" s="321" t="s">
        <v>3783</v>
      </c>
      <c r="B1560" s="323" t="s">
        <v>0</v>
      </c>
      <c r="C1560" s="323" t="s">
        <v>2689</v>
      </c>
      <c r="D1560" s="392" t="s">
        <v>3848</v>
      </c>
      <c r="E1560" s="387">
        <v>351104</v>
      </c>
      <c r="F1560" s="594" t="s">
        <v>3854</v>
      </c>
      <c r="G1560" s="578">
        <v>68.75</v>
      </c>
      <c r="H1560" s="597">
        <v>3357925</v>
      </c>
      <c r="I1560" s="597"/>
      <c r="J1560" s="323" t="s">
        <v>3841</v>
      </c>
    </row>
    <row r="1561" spans="1:10" x14ac:dyDescent="0.25">
      <c r="A1561" s="321">
        <v>42919</v>
      </c>
      <c r="B1561" s="323" t="s">
        <v>127</v>
      </c>
      <c r="D1561" s="392" t="s">
        <v>181</v>
      </c>
      <c r="E1561" s="387">
        <v>351215</v>
      </c>
      <c r="F1561" s="594"/>
      <c r="G1561" s="578">
        <v>116</v>
      </c>
      <c r="H1561" s="597">
        <v>3328330</v>
      </c>
      <c r="J1561" s="323" t="s">
        <v>2573</v>
      </c>
    </row>
    <row r="1562" spans="1:10" x14ac:dyDescent="0.25">
      <c r="A1562" s="321">
        <v>42919</v>
      </c>
      <c r="B1562" s="323" t="s">
        <v>127</v>
      </c>
      <c r="D1562" s="392" t="s">
        <v>181</v>
      </c>
      <c r="E1562" s="387">
        <v>351215</v>
      </c>
      <c r="F1562" s="594"/>
      <c r="G1562" s="578">
        <v>98</v>
      </c>
      <c r="H1562" s="597">
        <v>3338451</v>
      </c>
      <c r="J1562" s="323" t="s">
        <v>2573</v>
      </c>
    </row>
    <row r="1563" spans="1:10" x14ac:dyDescent="0.25">
      <c r="A1563" s="321">
        <v>42921</v>
      </c>
      <c r="B1563" s="323" t="s">
        <v>127</v>
      </c>
      <c r="D1563" s="392" t="s">
        <v>181</v>
      </c>
      <c r="E1563" s="387">
        <v>351215</v>
      </c>
      <c r="F1563" s="594"/>
      <c r="G1563" s="578">
        <v>90.95</v>
      </c>
      <c r="H1563" s="597">
        <v>3336129</v>
      </c>
      <c r="J1563" s="323" t="s">
        <v>2573</v>
      </c>
    </row>
    <row r="1564" spans="1:10" x14ac:dyDescent="0.25">
      <c r="A1564" s="321">
        <v>42922</v>
      </c>
      <c r="B1564" s="323" t="s">
        <v>127</v>
      </c>
      <c r="D1564" s="392" t="s">
        <v>181</v>
      </c>
      <c r="E1564" s="387">
        <v>351215</v>
      </c>
      <c r="F1564" s="594"/>
      <c r="G1564" s="578">
        <v>133.61000000000001</v>
      </c>
      <c r="H1564" s="597">
        <v>3352921</v>
      </c>
      <c r="J1564" s="323" t="s">
        <v>2573</v>
      </c>
    </row>
    <row r="1565" spans="1:10" x14ac:dyDescent="0.25">
      <c r="A1565" s="321">
        <v>42921</v>
      </c>
      <c r="B1565" s="323" t="s">
        <v>127</v>
      </c>
      <c r="D1565" s="392" t="s">
        <v>2130</v>
      </c>
      <c r="E1565" s="387">
        <v>214122</v>
      </c>
      <c r="F1565" s="594"/>
      <c r="G1565" s="578">
        <v>98.15</v>
      </c>
      <c r="H1565" s="597">
        <v>3350358</v>
      </c>
      <c r="J1565" s="323" t="s">
        <v>142</v>
      </c>
    </row>
    <row r="1566" spans="1:10" x14ac:dyDescent="0.25">
      <c r="A1566" s="321">
        <v>42921</v>
      </c>
      <c r="B1566" s="323" t="s">
        <v>127</v>
      </c>
      <c r="D1566" s="392" t="s">
        <v>2277</v>
      </c>
      <c r="E1566" s="387">
        <v>352463</v>
      </c>
      <c r="F1566" s="594"/>
      <c r="G1566" s="578">
        <v>77.19</v>
      </c>
      <c r="H1566" s="597">
        <v>3341366</v>
      </c>
      <c r="J1566" s="323" t="s">
        <v>142</v>
      </c>
    </row>
    <row r="1567" spans="1:10" x14ac:dyDescent="0.25">
      <c r="A1567" s="321">
        <v>42923</v>
      </c>
      <c r="B1567" s="323" t="s">
        <v>127</v>
      </c>
      <c r="D1567" s="392" t="s">
        <v>2277</v>
      </c>
      <c r="E1567" s="387">
        <v>3310023</v>
      </c>
      <c r="F1567" s="594"/>
      <c r="G1567" s="578">
        <f>55.4+29.2</f>
        <v>84.6</v>
      </c>
      <c r="H1567" s="597">
        <v>3310023</v>
      </c>
      <c r="J1567" s="323" t="s">
        <v>4259</v>
      </c>
    </row>
    <row r="1568" spans="1:10" x14ac:dyDescent="0.25">
      <c r="A1568" s="321">
        <v>42922</v>
      </c>
      <c r="B1568" s="323" t="s">
        <v>127</v>
      </c>
      <c r="D1568" s="392" t="s">
        <v>2653</v>
      </c>
      <c r="E1568" s="387">
        <v>351902</v>
      </c>
      <c r="F1568" s="594"/>
      <c r="G1568" s="578">
        <v>59.95</v>
      </c>
      <c r="H1568" s="597">
        <v>3349874</v>
      </c>
      <c r="J1568" s="323" t="s">
        <v>142</v>
      </c>
    </row>
    <row r="1569" spans="1:10" x14ac:dyDescent="0.25">
      <c r="A1569" s="321" t="s">
        <v>3943</v>
      </c>
      <c r="B1569" s="323" t="s">
        <v>0</v>
      </c>
      <c r="C1569" s="323" t="s">
        <v>238</v>
      </c>
      <c r="D1569" s="392" t="s">
        <v>4096</v>
      </c>
      <c r="E1569" s="387">
        <v>353026</v>
      </c>
      <c r="F1569" s="594" t="s">
        <v>4150</v>
      </c>
      <c r="G1569" s="578">
        <f>136.9</f>
        <v>136.9</v>
      </c>
      <c r="H1569" s="597" t="s">
        <v>4186</v>
      </c>
      <c r="J1569" s="323" t="s">
        <v>4106</v>
      </c>
    </row>
    <row r="1570" spans="1:10" x14ac:dyDescent="0.25">
      <c r="A1570" s="321" t="s">
        <v>3943</v>
      </c>
      <c r="B1570" s="323" t="s">
        <v>0</v>
      </c>
      <c r="C1570" s="323" t="s">
        <v>238</v>
      </c>
      <c r="D1570" s="392" t="s">
        <v>4098</v>
      </c>
      <c r="E1570" s="387">
        <v>352511</v>
      </c>
      <c r="F1570" s="594" t="s">
        <v>4144</v>
      </c>
      <c r="G1570" s="578">
        <v>694.6</v>
      </c>
      <c r="H1570" s="594" t="s">
        <v>4190</v>
      </c>
      <c r="J1570" s="323" t="s">
        <v>4109</v>
      </c>
    </row>
    <row r="1571" spans="1:10" x14ac:dyDescent="0.25">
      <c r="A1571" s="321" t="s">
        <v>3943</v>
      </c>
      <c r="B1571" s="323" t="s">
        <v>0</v>
      </c>
      <c r="C1571" s="323" t="s">
        <v>238</v>
      </c>
      <c r="D1571" s="392" t="s">
        <v>1266</v>
      </c>
      <c r="E1571" s="387">
        <v>350923</v>
      </c>
      <c r="F1571" s="594" t="s">
        <v>3970</v>
      </c>
      <c r="G1571" s="578">
        <v>35.18</v>
      </c>
      <c r="H1571" s="594">
        <v>3378748</v>
      </c>
      <c r="J1571" s="323" t="s">
        <v>3962</v>
      </c>
    </row>
    <row r="1572" spans="1:10" x14ac:dyDescent="0.25">
      <c r="A1572" s="321" t="s">
        <v>3943</v>
      </c>
      <c r="B1572" s="323" t="s">
        <v>0</v>
      </c>
      <c r="C1572" s="323" t="s">
        <v>238</v>
      </c>
      <c r="D1572" s="392" t="s">
        <v>4042</v>
      </c>
      <c r="E1572" s="387">
        <v>226520</v>
      </c>
      <c r="F1572" s="594" t="s">
        <v>4046</v>
      </c>
      <c r="G1572" s="578">
        <v>83.75</v>
      </c>
      <c r="H1572" s="594">
        <v>3380121</v>
      </c>
      <c r="J1572" s="323" t="s">
        <v>4038</v>
      </c>
    </row>
    <row r="1573" spans="1:10" x14ac:dyDescent="0.25">
      <c r="A1573" s="321" t="s">
        <v>3943</v>
      </c>
      <c r="B1573" s="323" t="s">
        <v>0</v>
      </c>
      <c r="C1573" s="323" t="s">
        <v>238</v>
      </c>
      <c r="D1573" s="392" t="s">
        <v>2762</v>
      </c>
      <c r="E1573" s="387">
        <v>351399</v>
      </c>
      <c r="F1573" s="594" t="s">
        <v>4130</v>
      </c>
      <c r="G1573" s="578">
        <v>168.49</v>
      </c>
      <c r="H1573" s="594" t="s">
        <v>4174</v>
      </c>
      <c r="J1573" s="323" t="s">
        <v>4088</v>
      </c>
    </row>
    <row r="1574" spans="1:10" x14ac:dyDescent="0.25">
      <c r="A1574" s="321" t="s">
        <v>3943</v>
      </c>
      <c r="B1574" s="323" t="s">
        <v>0</v>
      </c>
      <c r="C1574" s="323" t="s">
        <v>238</v>
      </c>
      <c r="D1574" s="392" t="s">
        <v>3483</v>
      </c>
      <c r="E1574" s="387">
        <v>351290</v>
      </c>
      <c r="F1574" s="594" t="s">
        <v>4135</v>
      </c>
      <c r="G1574" s="578">
        <v>185.09</v>
      </c>
      <c r="H1574" s="594" t="s">
        <v>4179</v>
      </c>
      <c r="J1574" s="323" t="s">
        <v>4100</v>
      </c>
    </row>
    <row r="1575" spans="1:10" x14ac:dyDescent="0.25">
      <c r="A1575" s="321" t="s">
        <v>3943</v>
      </c>
      <c r="B1575" s="323" t="s">
        <v>0</v>
      </c>
      <c r="C1575" s="323" t="s">
        <v>238</v>
      </c>
      <c r="D1575" s="392" t="s">
        <v>4003</v>
      </c>
      <c r="E1575" s="387">
        <v>218036</v>
      </c>
      <c r="F1575" s="594" t="s">
        <v>4007</v>
      </c>
      <c r="G1575" s="578">
        <v>59.82</v>
      </c>
      <c r="H1575" s="594">
        <v>3380781</v>
      </c>
      <c r="J1575" s="323" t="s">
        <v>3997</v>
      </c>
    </row>
    <row r="1576" spans="1:10" x14ac:dyDescent="0.25">
      <c r="A1576" s="321" t="s">
        <v>3943</v>
      </c>
      <c r="B1576" s="323" t="s">
        <v>0</v>
      </c>
      <c r="C1576" s="323" t="s">
        <v>238</v>
      </c>
      <c r="D1576" s="392" t="s">
        <v>1777</v>
      </c>
      <c r="E1576" s="387">
        <v>352537</v>
      </c>
      <c r="F1576" s="594" t="s">
        <v>4122</v>
      </c>
      <c r="G1576" s="578">
        <v>148.80000000000001</v>
      </c>
      <c r="H1576" s="594" t="s">
        <v>4165</v>
      </c>
      <c r="J1576" s="323" t="s">
        <v>4077</v>
      </c>
    </row>
    <row r="1577" spans="1:10" x14ac:dyDescent="0.25">
      <c r="A1577" s="321" t="s">
        <v>3943</v>
      </c>
      <c r="B1577" s="323" t="s">
        <v>0</v>
      </c>
      <c r="C1577" s="323" t="s">
        <v>238</v>
      </c>
      <c r="D1577" s="392" t="s">
        <v>4005</v>
      </c>
      <c r="E1577" s="387">
        <v>352349</v>
      </c>
      <c r="F1577" s="594" t="s">
        <v>4011</v>
      </c>
      <c r="G1577" s="578">
        <v>63.6</v>
      </c>
      <c r="H1577" s="594">
        <v>3382348</v>
      </c>
      <c r="J1577" s="323" t="s">
        <v>4001</v>
      </c>
    </row>
    <row r="1578" spans="1:10" x14ac:dyDescent="0.25">
      <c r="A1578" s="321" t="s">
        <v>3943</v>
      </c>
      <c r="B1578" s="323" t="s">
        <v>0</v>
      </c>
      <c r="C1578" s="323" t="s">
        <v>238</v>
      </c>
      <c r="D1578" s="392" t="s">
        <v>53</v>
      </c>
      <c r="E1578" s="387">
        <v>352310</v>
      </c>
      <c r="F1578" s="594" t="s">
        <v>3989</v>
      </c>
      <c r="G1578" s="578">
        <v>51.59</v>
      </c>
      <c r="H1578" s="594">
        <v>3383601</v>
      </c>
      <c r="J1578" s="323" t="s">
        <v>3985</v>
      </c>
    </row>
    <row r="1579" spans="1:10" x14ac:dyDescent="0.25">
      <c r="A1579" s="321" t="s">
        <v>3943</v>
      </c>
      <c r="B1579" s="323" t="s">
        <v>0</v>
      </c>
      <c r="C1579" s="323" t="s">
        <v>238</v>
      </c>
      <c r="D1579" s="392" t="s">
        <v>2380</v>
      </c>
      <c r="E1579" s="387">
        <v>353334</v>
      </c>
      <c r="F1579" s="594" t="s">
        <v>4132</v>
      </c>
      <c r="G1579" s="578">
        <v>170.95</v>
      </c>
      <c r="H1579" s="594" t="s">
        <v>4176</v>
      </c>
      <c r="J1579" s="323" t="s">
        <v>4090</v>
      </c>
    </row>
    <row r="1580" spans="1:10" x14ac:dyDescent="0.25">
      <c r="A1580" s="321" t="s">
        <v>3943</v>
      </c>
      <c r="B1580" s="323" t="s">
        <v>0</v>
      </c>
      <c r="C1580" s="323" t="s">
        <v>238</v>
      </c>
      <c r="D1580" s="392" t="s">
        <v>2073</v>
      </c>
      <c r="E1580" s="387">
        <v>352603</v>
      </c>
      <c r="F1580" s="594" t="s">
        <v>4024</v>
      </c>
      <c r="G1580" s="578">
        <v>69.849999999999994</v>
      </c>
      <c r="H1580" s="594">
        <v>3383790</v>
      </c>
      <c r="J1580" s="323" t="s">
        <v>4015</v>
      </c>
    </row>
    <row r="1581" spans="1:10" x14ac:dyDescent="0.25">
      <c r="A1581" s="321" t="s">
        <v>3943</v>
      </c>
      <c r="B1581" s="323" t="s">
        <v>0</v>
      </c>
      <c r="C1581" s="323" t="s">
        <v>238</v>
      </c>
      <c r="D1581" s="392" t="s">
        <v>2107</v>
      </c>
      <c r="E1581" s="387">
        <v>352201</v>
      </c>
      <c r="F1581" s="594" t="s">
        <v>3967</v>
      </c>
      <c r="G1581" s="578">
        <v>65.95</v>
      </c>
      <c r="H1581" s="594">
        <v>3385151</v>
      </c>
      <c r="J1581" s="323" t="s">
        <v>3960</v>
      </c>
    </row>
    <row r="1582" spans="1:10" x14ac:dyDescent="0.25">
      <c r="A1582" s="321" t="s">
        <v>3943</v>
      </c>
      <c r="B1582" s="323" t="s">
        <v>0</v>
      </c>
      <c r="C1582" s="323" t="s">
        <v>238</v>
      </c>
      <c r="D1582" s="392" t="s">
        <v>2218</v>
      </c>
      <c r="E1582" s="387">
        <v>351518</v>
      </c>
      <c r="F1582" s="594" t="s">
        <v>4111</v>
      </c>
      <c r="G1582" s="578">
        <v>112.76</v>
      </c>
      <c r="H1582" s="594" t="s">
        <v>4152</v>
      </c>
      <c r="J1582" s="323" t="s">
        <v>4066</v>
      </c>
    </row>
    <row r="1583" spans="1:10" x14ac:dyDescent="0.25">
      <c r="A1583" s="321" t="s">
        <v>3943</v>
      </c>
      <c r="B1583" s="323" t="s">
        <v>0</v>
      </c>
      <c r="C1583" s="323" t="s">
        <v>238</v>
      </c>
      <c r="D1583" s="392" t="s">
        <v>4032</v>
      </c>
      <c r="E1583" s="387">
        <v>351795</v>
      </c>
      <c r="F1583" s="594" t="s">
        <v>4034</v>
      </c>
      <c r="G1583" s="578">
        <v>76.95</v>
      </c>
      <c r="H1583" s="594">
        <v>3386389</v>
      </c>
      <c r="J1583" s="323" t="s">
        <v>4030</v>
      </c>
    </row>
    <row r="1584" spans="1:10" x14ac:dyDescent="0.25">
      <c r="A1584" s="321" t="s">
        <v>3943</v>
      </c>
      <c r="B1584" s="323" t="s">
        <v>0</v>
      </c>
      <c r="C1584" s="323" t="s">
        <v>238</v>
      </c>
      <c r="D1584" s="392" t="s">
        <v>4052</v>
      </c>
      <c r="E1584" s="387">
        <v>352417</v>
      </c>
      <c r="F1584" s="594" t="s">
        <v>4063</v>
      </c>
      <c r="G1584" s="578">
        <v>94.72</v>
      </c>
      <c r="H1584" s="594">
        <v>3386654</v>
      </c>
      <c r="J1584" s="323" t="s">
        <v>4055</v>
      </c>
    </row>
    <row r="1585" spans="1:19" x14ac:dyDescent="0.25">
      <c r="A1585" s="321" t="s">
        <v>3943</v>
      </c>
      <c r="B1585" s="323" t="s">
        <v>0</v>
      </c>
      <c r="C1585" s="323" t="s">
        <v>238</v>
      </c>
      <c r="D1585" s="392">
        <v>376272324991</v>
      </c>
      <c r="E1585" s="387">
        <v>351812</v>
      </c>
      <c r="F1585" s="594" t="s">
        <v>4196</v>
      </c>
      <c r="G1585" s="578">
        <v>127.63</v>
      </c>
      <c r="H1585" s="594">
        <v>3388000</v>
      </c>
      <c r="J1585" s="323" t="s">
        <v>4197</v>
      </c>
    </row>
    <row r="1586" spans="1:19" x14ac:dyDescent="0.25">
      <c r="A1586" s="321" t="s">
        <v>3943</v>
      </c>
      <c r="B1586" s="323" t="s">
        <v>0</v>
      </c>
      <c r="C1586" s="323" t="s">
        <v>238</v>
      </c>
      <c r="D1586" s="392" t="s">
        <v>4082</v>
      </c>
      <c r="E1586" s="387">
        <v>222476</v>
      </c>
      <c r="F1586" s="594" t="s">
        <v>4115</v>
      </c>
      <c r="G1586" s="578">
        <v>120.95</v>
      </c>
      <c r="H1586" s="594" t="s">
        <v>4157</v>
      </c>
      <c r="J1586" s="323" t="s">
        <v>4070</v>
      </c>
    </row>
    <row r="1587" spans="1:19" x14ac:dyDescent="0.25">
      <c r="A1587" s="321" t="s">
        <v>3943</v>
      </c>
      <c r="B1587" s="323" t="s">
        <v>0</v>
      </c>
      <c r="C1587" s="323" t="s">
        <v>238</v>
      </c>
      <c r="D1587" s="392" t="s">
        <v>75</v>
      </c>
      <c r="E1587" s="387">
        <v>350332</v>
      </c>
      <c r="F1587" s="594" t="s">
        <v>4110</v>
      </c>
      <c r="G1587" s="578">
        <v>105.08</v>
      </c>
      <c r="H1587" s="594">
        <v>3389877</v>
      </c>
      <c r="J1587" s="323" t="s">
        <v>4064</v>
      </c>
    </row>
    <row r="1588" spans="1:19" x14ac:dyDescent="0.25">
      <c r="A1588" s="321" t="s">
        <v>3943</v>
      </c>
      <c r="B1588" s="323" t="s">
        <v>0</v>
      </c>
      <c r="C1588" s="323" t="s">
        <v>238</v>
      </c>
      <c r="D1588" s="392" t="s">
        <v>4095</v>
      </c>
      <c r="E1588" s="387">
        <v>350565</v>
      </c>
      <c r="F1588" s="594" t="s">
        <v>4138</v>
      </c>
      <c r="G1588" s="578">
        <v>221.99</v>
      </c>
      <c r="H1588" s="594" t="s">
        <v>4182</v>
      </c>
      <c r="J1588" s="323" t="s">
        <v>4103</v>
      </c>
    </row>
    <row r="1589" spans="1:19" x14ac:dyDescent="0.25">
      <c r="A1589" s="321" t="s">
        <v>3943</v>
      </c>
      <c r="B1589" s="323" t="s">
        <v>0</v>
      </c>
      <c r="C1589" s="323" t="s">
        <v>238</v>
      </c>
      <c r="D1589" s="392" t="s">
        <v>4040</v>
      </c>
      <c r="E1589" s="387">
        <v>352469</v>
      </c>
      <c r="F1589" s="594" t="s">
        <v>4044</v>
      </c>
      <c r="G1589" s="578">
        <v>80.95</v>
      </c>
      <c r="H1589" s="594">
        <v>3390298</v>
      </c>
      <c r="J1589" s="323" t="s">
        <v>4036</v>
      </c>
    </row>
    <row r="1590" spans="1:19" x14ac:dyDescent="0.25">
      <c r="A1590" s="321" t="s">
        <v>3943</v>
      </c>
      <c r="B1590" s="323" t="s">
        <v>0</v>
      </c>
      <c r="C1590" s="323" t="s">
        <v>238</v>
      </c>
      <c r="D1590" s="392" t="s">
        <v>94</v>
      </c>
      <c r="E1590" s="387">
        <v>350522</v>
      </c>
      <c r="F1590" s="594" t="s">
        <v>4062</v>
      </c>
      <c r="G1590" s="578">
        <v>98.11</v>
      </c>
      <c r="H1590" s="594">
        <v>3390384</v>
      </c>
      <c r="J1590" s="323" t="s">
        <v>4058</v>
      </c>
    </row>
    <row r="1591" spans="1:19" x14ac:dyDescent="0.25">
      <c r="A1591" s="321" t="s">
        <v>3943</v>
      </c>
      <c r="B1591" s="323" t="s">
        <v>0</v>
      </c>
      <c r="C1591" s="323" t="s">
        <v>238</v>
      </c>
      <c r="D1591" s="392" t="s">
        <v>2606</v>
      </c>
      <c r="E1591" s="387">
        <v>353163</v>
      </c>
      <c r="F1591" s="594" t="s">
        <v>4023</v>
      </c>
      <c r="G1591" s="578">
        <v>71.06</v>
      </c>
      <c r="H1591" s="594">
        <v>3391899</v>
      </c>
      <c r="J1591" s="323" t="s">
        <v>4018</v>
      </c>
    </row>
    <row r="1592" spans="1:19" x14ac:dyDescent="0.25">
      <c r="A1592" s="321" t="s">
        <v>3943</v>
      </c>
      <c r="B1592" s="323" t="s">
        <v>0</v>
      </c>
      <c r="C1592" s="323" t="s">
        <v>238</v>
      </c>
      <c r="D1592" s="392" t="s">
        <v>2154</v>
      </c>
      <c r="E1592" s="387">
        <v>352298</v>
      </c>
      <c r="F1592" s="594" t="s">
        <v>4146</v>
      </c>
      <c r="G1592" s="578">
        <f>68.95</f>
        <v>68.95</v>
      </c>
      <c r="H1592" s="594" t="s">
        <v>4160</v>
      </c>
      <c r="J1592" s="323" t="s">
        <v>4073</v>
      </c>
    </row>
    <row r="1593" spans="1:19" x14ac:dyDescent="0.25">
      <c r="A1593" s="321" t="s">
        <v>3943</v>
      </c>
      <c r="B1593" s="323" t="s">
        <v>0</v>
      </c>
      <c r="C1593" s="323" t="s">
        <v>238</v>
      </c>
      <c r="D1593" s="392" t="s">
        <v>4191</v>
      </c>
      <c r="E1593" s="387">
        <v>352707</v>
      </c>
      <c r="F1593" s="594"/>
      <c r="G1593" s="578">
        <v>66.86</v>
      </c>
      <c r="H1593" s="594"/>
      <c r="J1593" s="323" t="s">
        <v>3267</v>
      </c>
    </row>
    <row r="1594" spans="1:19" x14ac:dyDescent="0.25">
      <c r="A1594" s="321" t="s">
        <v>3943</v>
      </c>
      <c r="B1594" s="323" t="s">
        <v>0</v>
      </c>
      <c r="C1594" s="323" t="s">
        <v>238</v>
      </c>
      <c r="D1594" s="392" t="s">
        <v>4193</v>
      </c>
      <c r="E1594" s="387">
        <v>352795</v>
      </c>
      <c r="F1594" s="594"/>
      <c r="G1594" s="578">
        <v>19.95</v>
      </c>
      <c r="H1594" s="594"/>
      <c r="J1594" s="323" t="s">
        <v>3267</v>
      </c>
    </row>
    <row r="1595" spans="1:19" x14ac:dyDescent="0.25">
      <c r="A1595" s="321" t="s">
        <v>3943</v>
      </c>
      <c r="B1595" s="323" t="s">
        <v>0</v>
      </c>
      <c r="D1595" s="392" t="s">
        <v>1779</v>
      </c>
      <c r="E1595" s="387">
        <v>352748</v>
      </c>
      <c r="F1595" s="594" t="s">
        <v>3526</v>
      </c>
      <c r="G1595" s="578">
        <v>-52.95</v>
      </c>
      <c r="H1595" s="597">
        <v>3288803</v>
      </c>
      <c r="J1595" s="323" t="s">
        <v>3951</v>
      </c>
    </row>
    <row r="1596" spans="1:19" x14ac:dyDescent="0.25">
      <c r="A1596" s="321" t="s">
        <v>3943</v>
      </c>
      <c r="B1596" s="323" t="s">
        <v>0</v>
      </c>
      <c r="C1596" s="323" t="s">
        <v>4268</v>
      </c>
      <c r="D1596" s="392" t="s">
        <v>1917</v>
      </c>
      <c r="E1596" s="387">
        <v>98384</v>
      </c>
      <c r="F1596" s="594" t="s">
        <v>3793</v>
      </c>
      <c r="G1596" s="578">
        <v>-31.2</v>
      </c>
      <c r="H1596" s="597">
        <v>3342428</v>
      </c>
      <c r="J1596" s="323" t="s">
        <v>3952</v>
      </c>
    </row>
    <row r="1597" spans="1:19" s="409" customFormat="1" x14ac:dyDescent="0.25">
      <c r="A1597" s="368" t="s">
        <v>3943</v>
      </c>
      <c r="B1597" s="327" t="s">
        <v>0</v>
      </c>
      <c r="C1597" s="327" t="s">
        <v>238</v>
      </c>
      <c r="D1597" s="581" t="s">
        <v>239</v>
      </c>
      <c r="E1597" s="387">
        <v>217848</v>
      </c>
      <c r="F1597" s="597" t="s">
        <v>4133</v>
      </c>
      <c r="G1597" s="578">
        <v>178.95</v>
      </c>
      <c r="H1597" s="597" t="s">
        <v>4177</v>
      </c>
      <c r="I1597" s="597"/>
      <c r="J1597" s="327" t="s">
        <v>4091</v>
      </c>
      <c r="K1597" s="328"/>
      <c r="L1597" s="328"/>
      <c r="M1597" s="328"/>
      <c r="N1597" s="328"/>
      <c r="O1597" s="328"/>
      <c r="P1597" s="328"/>
      <c r="Q1597" s="328"/>
      <c r="R1597" s="328"/>
      <c r="S1597" s="328"/>
    </row>
    <row r="1598" spans="1:19" s="409" customFormat="1" x14ac:dyDescent="0.25">
      <c r="A1598" s="368" t="s">
        <v>3943</v>
      </c>
      <c r="B1598" s="327" t="s">
        <v>0</v>
      </c>
      <c r="C1598" s="327" t="s">
        <v>238</v>
      </c>
      <c r="D1598" s="581" t="s">
        <v>2107</v>
      </c>
      <c r="E1598" s="387">
        <v>352201</v>
      </c>
      <c r="F1598" s="597" t="s">
        <v>3966</v>
      </c>
      <c r="G1598" s="578">
        <f>33.9</f>
        <v>33.9</v>
      </c>
      <c r="H1598" s="597">
        <v>3356119</v>
      </c>
      <c r="I1598" s="597"/>
      <c r="J1598" s="327" t="s">
        <v>3960</v>
      </c>
      <c r="K1598" s="328"/>
      <c r="L1598" s="328"/>
      <c r="M1598" s="328"/>
      <c r="N1598" s="328"/>
      <c r="O1598" s="328"/>
      <c r="P1598" s="328"/>
      <c r="Q1598" s="328"/>
      <c r="R1598" s="328"/>
      <c r="S1598" s="328"/>
    </row>
    <row r="1599" spans="1:19" s="409" customFormat="1" x14ac:dyDescent="0.25">
      <c r="A1599" s="368" t="s">
        <v>3943</v>
      </c>
      <c r="B1599" s="327" t="s">
        <v>0</v>
      </c>
      <c r="C1599" s="327" t="s">
        <v>238</v>
      </c>
      <c r="D1599" s="581" t="s">
        <v>2991</v>
      </c>
      <c r="E1599" s="387">
        <v>353779</v>
      </c>
      <c r="F1599" s="597" t="s">
        <v>4028</v>
      </c>
      <c r="G1599" s="578">
        <v>74.680000000000007</v>
      </c>
      <c r="H1599" s="597">
        <v>3361003</v>
      </c>
      <c r="I1599" s="597"/>
      <c r="J1599" s="327" t="s">
        <v>4026</v>
      </c>
      <c r="K1599" s="328"/>
      <c r="L1599" s="328"/>
      <c r="M1599" s="328"/>
      <c r="N1599" s="328"/>
      <c r="O1599" s="328"/>
      <c r="P1599" s="328"/>
      <c r="Q1599" s="328"/>
      <c r="R1599" s="328"/>
      <c r="S1599" s="328"/>
    </row>
    <row r="1600" spans="1:19" s="409" customFormat="1" x14ac:dyDescent="0.25">
      <c r="A1600" s="368" t="s">
        <v>3943</v>
      </c>
      <c r="B1600" s="327" t="s">
        <v>0</v>
      </c>
      <c r="C1600" s="327" t="s">
        <v>238</v>
      </c>
      <c r="D1600" s="581" t="s">
        <v>2742</v>
      </c>
      <c r="E1600" s="387">
        <v>351440</v>
      </c>
      <c r="F1600" s="597" t="s">
        <v>4027</v>
      </c>
      <c r="G1600" s="578">
        <v>72.53</v>
      </c>
      <c r="H1600" s="597">
        <v>3362248</v>
      </c>
      <c r="I1600" s="597"/>
      <c r="J1600" s="327" t="s">
        <v>4025</v>
      </c>
      <c r="K1600" s="328"/>
      <c r="L1600" s="328"/>
      <c r="M1600" s="328"/>
      <c r="N1600" s="328"/>
      <c r="O1600" s="328"/>
      <c r="P1600" s="328"/>
      <c r="Q1600" s="328"/>
      <c r="R1600" s="328"/>
      <c r="S1600" s="328"/>
    </row>
    <row r="1601" spans="1:19" s="409" customFormat="1" x14ac:dyDescent="0.25">
      <c r="A1601" s="368" t="s">
        <v>3943</v>
      </c>
      <c r="B1601" s="327" t="s">
        <v>0</v>
      </c>
      <c r="C1601" s="327" t="s">
        <v>238</v>
      </c>
      <c r="D1601" s="581" t="s">
        <v>3984</v>
      </c>
      <c r="E1601" s="387">
        <v>350047</v>
      </c>
      <c r="F1601" s="597" t="s">
        <v>3993</v>
      </c>
      <c r="G1601" s="578">
        <v>55.95</v>
      </c>
      <c r="H1601" s="597">
        <v>3362907</v>
      </c>
      <c r="I1601" s="597"/>
      <c r="J1601" s="327" t="s">
        <v>3994</v>
      </c>
      <c r="K1601" s="328"/>
      <c r="L1601" s="328"/>
      <c r="M1601" s="328"/>
      <c r="N1601" s="328"/>
      <c r="O1601" s="328"/>
      <c r="P1601" s="328"/>
      <c r="Q1601" s="328"/>
      <c r="R1601" s="328"/>
      <c r="S1601" s="328"/>
    </row>
    <row r="1602" spans="1:19" s="409" customFormat="1" x14ac:dyDescent="0.25">
      <c r="A1602" s="368" t="s">
        <v>3943</v>
      </c>
      <c r="B1602" s="327" t="s">
        <v>0</v>
      </c>
      <c r="C1602" s="327" t="s">
        <v>238</v>
      </c>
      <c r="D1602" s="581" t="s">
        <v>2861</v>
      </c>
      <c r="E1602" s="387">
        <v>351644</v>
      </c>
      <c r="F1602" s="597" t="s">
        <v>4112</v>
      </c>
      <c r="G1602" s="578">
        <v>114.7</v>
      </c>
      <c r="H1602" s="597" t="s">
        <v>4153</v>
      </c>
      <c r="I1602" s="597"/>
      <c r="J1602" s="327" t="s">
        <v>4067</v>
      </c>
      <c r="K1602" s="328"/>
      <c r="L1602" s="328"/>
      <c r="M1602" s="328"/>
      <c r="N1602" s="328"/>
      <c r="O1602" s="328"/>
      <c r="P1602" s="328"/>
      <c r="Q1602" s="328"/>
      <c r="R1602" s="328"/>
      <c r="S1602" s="328"/>
    </row>
    <row r="1603" spans="1:19" s="409" customFormat="1" x14ac:dyDescent="0.25">
      <c r="A1603" s="368" t="s">
        <v>3943</v>
      </c>
      <c r="B1603" s="327" t="s">
        <v>0</v>
      </c>
      <c r="C1603" s="327" t="s">
        <v>238</v>
      </c>
      <c r="D1603" s="581" t="s">
        <v>2925</v>
      </c>
      <c r="E1603" s="387">
        <v>353967</v>
      </c>
      <c r="F1603" s="597" t="s">
        <v>4131</v>
      </c>
      <c r="G1603" s="578">
        <v>169.8</v>
      </c>
      <c r="H1603" s="597" t="s">
        <v>4175</v>
      </c>
      <c r="I1603" s="597"/>
      <c r="J1603" s="327" t="s">
        <v>4089</v>
      </c>
      <c r="K1603" s="328"/>
      <c r="L1603" s="328"/>
      <c r="M1603" s="328"/>
      <c r="N1603" s="328"/>
      <c r="O1603" s="328"/>
      <c r="P1603" s="328"/>
      <c r="Q1603" s="328"/>
      <c r="R1603" s="328"/>
      <c r="S1603" s="328"/>
    </row>
    <row r="1604" spans="1:19" s="409" customFormat="1" x14ac:dyDescent="0.25">
      <c r="A1604" s="368" t="s">
        <v>3943</v>
      </c>
      <c r="B1604" s="327" t="s">
        <v>0</v>
      </c>
      <c r="C1604" s="327" t="s">
        <v>238</v>
      </c>
      <c r="D1604" s="581" t="s">
        <v>2924</v>
      </c>
      <c r="E1604" s="387">
        <v>352656</v>
      </c>
      <c r="F1604" s="597" t="s">
        <v>4009</v>
      </c>
      <c r="G1604" s="578">
        <v>61.93</v>
      </c>
      <c r="H1604" s="597">
        <v>3364019</v>
      </c>
      <c r="I1604" s="597"/>
      <c r="J1604" s="327" t="s">
        <v>3999</v>
      </c>
      <c r="K1604" s="328"/>
      <c r="L1604" s="328"/>
      <c r="M1604" s="328"/>
      <c r="N1604" s="328"/>
      <c r="O1604" s="328"/>
      <c r="P1604" s="328"/>
      <c r="Q1604" s="328"/>
      <c r="R1604" s="328"/>
      <c r="S1604" s="328"/>
    </row>
    <row r="1605" spans="1:19" s="409" customFormat="1" x14ac:dyDescent="0.25">
      <c r="A1605" s="368" t="s">
        <v>3943</v>
      </c>
      <c r="B1605" s="327" t="s">
        <v>0</v>
      </c>
      <c r="C1605" s="327" t="s">
        <v>238</v>
      </c>
      <c r="D1605" s="581" t="s">
        <v>2196</v>
      </c>
      <c r="E1605" s="387">
        <v>226298</v>
      </c>
      <c r="F1605" s="597" t="s">
        <v>4006</v>
      </c>
      <c r="G1605" s="578">
        <v>57.54</v>
      </c>
      <c r="H1605" s="597">
        <v>3364191</v>
      </c>
      <c r="I1605" s="597"/>
      <c r="J1605" s="327" t="s">
        <v>3995</v>
      </c>
      <c r="K1605" s="328"/>
      <c r="L1605" s="328"/>
      <c r="M1605" s="328"/>
      <c r="N1605" s="328"/>
      <c r="O1605" s="328"/>
      <c r="P1605" s="328"/>
      <c r="Q1605" s="328"/>
      <c r="R1605" s="328"/>
      <c r="S1605" s="328"/>
    </row>
    <row r="1606" spans="1:19" s="409" customFormat="1" x14ac:dyDescent="0.25">
      <c r="A1606" s="368" t="s">
        <v>3943</v>
      </c>
      <c r="B1606" s="327" t="s">
        <v>0</v>
      </c>
      <c r="C1606" s="327" t="s">
        <v>238</v>
      </c>
      <c r="D1606" s="581" t="s">
        <v>181</v>
      </c>
      <c r="E1606" s="387">
        <v>351215</v>
      </c>
      <c r="F1606" s="597" t="s">
        <v>3947</v>
      </c>
      <c r="G1606" s="578">
        <v>224</v>
      </c>
      <c r="H1606" s="597">
        <v>3364469</v>
      </c>
      <c r="I1606" s="597"/>
      <c r="J1606" s="327" t="s">
        <v>3950</v>
      </c>
      <c r="K1606" s="328"/>
      <c r="L1606" s="328"/>
      <c r="M1606" s="328"/>
      <c r="N1606" s="328"/>
      <c r="O1606" s="328"/>
      <c r="P1606" s="328"/>
      <c r="Q1606" s="328"/>
      <c r="R1606" s="328"/>
      <c r="S1606" s="328"/>
    </row>
    <row r="1607" spans="1:19" s="409" customFormat="1" x14ac:dyDescent="0.25">
      <c r="A1607" s="368" t="s">
        <v>3943</v>
      </c>
      <c r="B1607" s="327" t="s">
        <v>0</v>
      </c>
      <c r="C1607" s="327" t="s">
        <v>238</v>
      </c>
      <c r="D1607" s="581" t="s">
        <v>4041</v>
      </c>
      <c r="E1607" s="387">
        <v>351276</v>
      </c>
      <c r="F1607" s="597" t="s">
        <v>4045</v>
      </c>
      <c r="G1607" s="578">
        <v>81.900000000000006</v>
      </c>
      <c r="H1607" s="597">
        <v>3364528</v>
      </c>
      <c r="I1607" s="597"/>
      <c r="J1607" s="327" t="s">
        <v>4037</v>
      </c>
      <c r="K1607" s="328"/>
      <c r="L1607" s="328"/>
      <c r="M1607" s="328"/>
      <c r="N1607" s="328"/>
      <c r="O1607" s="328"/>
      <c r="P1607" s="328"/>
      <c r="Q1607" s="328"/>
      <c r="R1607" s="328"/>
      <c r="S1607" s="328"/>
    </row>
    <row r="1608" spans="1:19" s="409" customFormat="1" x14ac:dyDescent="0.25">
      <c r="A1608" s="368" t="s">
        <v>3943</v>
      </c>
      <c r="B1608" s="327" t="s">
        <v>0</v>
      </c>
      <c r="C1608" s="327" t="s">
        <v>238</v>
      </c>
      <c r="D1608" s="581" t="s">
        <v>181</v>
      </c>
      <c r="E1608" s="387">
        <v>351215</v>
      </c>
      <c r="F1608" s="597" t="s">
        <v>3948</v>
      </c>
      <c r="G1608" s="578">
        <v>47.27</v>
      </c>
      <c r="H1608" s="597">
        <v>3364984</v>
      </c>
      <c r="I1608" s="597"/>
      <c r="J1608" s="327" t="s">
        <v>3950</v>
      </c>
      <c r="K1608" s="328"/>
      <c r="L1608" s="328"/>
      <c r="M1608" s="328"/>
      <c r="N1608" s="328"/>
      <c r="O1608" s="328"/>
      <c r="P1608" s="328"/>
      <c r="Q1608" s="328"/>
      <c r="R1608" s="328"/>
      <c r="S1608" s="328"/>
    </row>
    <row r="1609" spans="1:19" s="409" customFormat="1" x14ac:dyDescent="0.25">
      <c r="A1609" s="368" t="s">
        <v>3943</v>
      </c>
      <c r="B1609" s="327" t="s">
        <v>0</v>
      </c>
      <c r="C1609" s="327" t="s">
        <v>238</v>
      </c>
      <c r="D1609" s="581" t="s">
        <v>201</v>
      </c>
      <c r="E1609" s="387">
        <v>350462</v>
      </c>
      <c r="F1609" s="597" t="s">
        <v>4121</v>
      </c>
      <c r="G1609" s="578">
        <v>142.9</v>
      </c>
      <c r="H1609" s="597" t="s">
        <v>4164</v>
      </c>
      <c r="I1609" s="597"/>
      <c r="J1609" s="327" t="s">
        <v>4076</v>
      </c>
      <c r="K1609" s="328"/>
      <c r="L1609" s="328"/>
      <c r="M1609" s="328"/>
      <c r="N1609" s="328"/>
      <c r="O1609" s="328"/>
      <c r="P1609" s="328"/>
      <c r="Q1609" s="328"/>
      <c r="R1609" s="328"/>
      <c r="S1609" s="328"/>
    </row>
    <row r="1610" spans="1:19" s="409" customFormat="1" x14ac:dyDescent="0.25">
      <c r="A1610" s="368" t="s">
        <v>3943</v>
      </c>
      <c r="B1610" s="327" t="s">
        <v>0</v>
      </c>
      <c r="C1610" s="327" t="s">
        <v>238</v>
      </c>
      <c r="D1610" s="581" t="s">
        <v>3292</v>
      </c>
      <c r="E1610" s="387">
        <v>226401</v>
      </c>
      <c r="F1610" s="597" t="s">
        <v>3955</v>
      </c>
      <c r="G1610" s="578">
        <v>14</v>
      </c>
      <c r="H1610" s="597">
        <v>3366043</v>
      </c>
      <c r="I1610" s="597"/>
      <c r="J1610" s="327" t="s">
        <v>3954</v>
      </c>
      <c r="K1610" s="328"/>
      <c r="L1610" s="328"/>
      <c r="M1610" s="328"/>
      <c r="N1610" s="328"/>
      <c r="O1610" s="328"/>
      <c r="P1610" s="328"/>
      <c r="Q1610" s="328"/>
      <c r="R1610" s="328"/>
      <c r="S1610" s="328"/>
    </row>
    <row r="1611" spans="1:19" s="409" customFormat="1" x14ac:dyDescent="0.25">
      <c r="A1611" s="368" t="s">
        <v>3943</v>
      </c>
      <c r="B1611" s="327" t="s">
        <v>0</v>
      </c>
      <c r="C1611" s="327" t="s">
        <v>238</v>
      </c>
      <c r="D1611" s="581" t="s">
        <v>2996</v>
      </c>
      <c r="E1611" s="387">
        <v>351086</v>
      </c>
      <c r="F1611" s="597" t="s">
        <v>3990</v>
      </c>
      <c r="G1611" s="578">
        <v>51.97</v>
      </c>
      <c r="H1611" s="597">
        <v>3368936</v>
      </c>
      <c r="I1611" s="597"/>
      <c r="J1611" s="327" t="s">
        <v>3987</v>
      </c>
      <c r="K1611" s="328"/>
      <c r="L1611" s="328"/>
      <c r="M1611" s="328"/>
      <c r="N1611" s="328"/>
      <c r="O1611" s="328"/>
      <c r="P1611" s="328"/>
      <c r="Q1611" s="328"/>
      <c r="R1611" s="328"/>
      <c r="S1611" s="328"/>
    </row>
    <row r="1612" spans="1:19" s="409" customFormat="1" x14ac:dyDescent="0.25">
      <c r="A1612" s="368" t="s">
        <v>3943</v>
      </c>
      <c r="B1612" s="327" t="s">
        <v>0</v>
      </c>
      <c r="C1612" s="327" t="s">
        <v>238</v>
      </c>
      <c r="D1612" s="581" t="s">
        <v>2270</v>
      </c>
      <c r="E1612" s="387">
        <v>352661</v>
      </c>
      <c r="F1612" s="597" t="s">
        <v>4149</v>
      </c>
      <c r="G1612" s="578">
        <f>221.8</f>
        <v>221.8</v>
      </c>
      <c r="H1612" s="597" t="s">
        <v>4184</v>
      </c>
      <c r="I1612" s="597"/>
      <c r="J1612" s="327" t="s">
        <v>4105</v>
      </c>
      <c r="K1612" s="328"/>
      <c r="L1612" s="328"/>
      <c r="M1612" s="328"/>
      <c r="N1612" s="328"/>
      <c r="O1612" s="328"/>
      <c r="P1612" s="328"/>
      <c r="Q1612" s="328"/>
      <c r="R1612" s="328"/>
      <c r="S1612" s="328"/>
    </row>
    <row r="1613" spans="1:19" s="409" customFormat="1" x14ac:dyDescent="0.25">
      <c r="A1613" s="368" t="s">
        <v>3943</v>
      </c>
      <c r="B1613" s="327" t="s">
        <v>0</v>
      </c>
      <c r="C1613" s="327" t="s">
        <v>238</v>
      </c>
      <c r="D1613" s="581" t="s">
        <v>1470</v>
      </c>
      <c r="E1613" s="387">
        <v>350586</v>
      </c>
      <c r="F1613" s="597" t="s">
        <v>4148</v>
      </c>
      <c r="G1613" s="578">
        <f>91.97</f>
        <v>91.97</v>
      </c>
      <c r="H1613" s="597" t="s">
        <v>4170</v>
      </c>
      <c r="I1613" s="597"/>
      <c r="J1613" s="327" t="s">
        <v>4081</v>
      </c>
      <c r="K1613" s="328"/>
      <c r="L1613" s="328"/>
      <c r="M1613" s="328"/>
      <c r="N1613" s="328"/>
      <c r="O1613" s="328"/>
      <c r="P1613" s="328"/>
      <c r="Q1613" s="328"/>
      <c r="R1613" s="328"/>
      <c r="S1613" s="328"/>
    </row>
    <row r="1614" spans="1:19" s="409" customFormat="1" x14ac:dyDescent="0.25">
      <c r="A1614" s="368" t="s">
        <v>3943</v>
      </c>
      <c r="B1614" s="327" t="s">
        <v>0</v>
      </c>
      <c r="C1614" s="327" t="s">
        <v>238</v>
      </c>
      <c r="D1614" s="581" t="s">
        <v>181</v>
      </c>
      <c r="E1614" s="387">
        <v>351215</v>
      </c>
      <c r="F1614" s="597" t="s">
        <v>3949</v>
      </c>
      <c r="G1614" s="578">
        <v>98.33</v>
      </c>
      <c r="H1614" s="597">
        <v>3369778</v>
      </c>
      <c r="I1614" s="597"/>
      <c r="J1614" s="327" t="s">
        <v>3950</v>
      </c>
      <c r="K1614" s="328"/>
      <c r="L1614" s="328"/>
      <c r="M1614" s="328"/>
      <c r="N1614" s="328"/>
      <c r="O1614" s="328"/>
      <c r="P1614" s="328"/>
      <c r="Q1614" s="328"/>
      <c r="R1614" s="328"/>
      <c r="S1614" s="328"/>
    </row>
    <row r="1615" spans="1:19" s="409" customFormat="1" x14ac:dyDescent="0.25">
      <c r="A1615" s="368" t="s">
        <v>3943</v>
      </c>
      <c r="B1615" s="327" t="s">
        <v>0</v>
      </c>
      <c r="C1615" s="327" t="s">
        <v>238</v>
      </c>
      <c r="D1615" s="581" t="s">
        <v>4050</v>
      </c>
      <c r="E1615" s="387">
        <v>218448</v>
      </c>
      <c r="F1615" s="597" t="s">
        <v>4051</v>
      </c>
      <c r="G1615" s="578">
        <v>90.79</v>
      </c>
      <c r="H1615" s="597">
        <v>3369800</v>
      </c>
      <c r="I1615" s="597"/>
      <c r="J1615" s="327" t="s">
        <v>4049</v>
      </c>
      <c r="K1615" s="328"/>
      <c r="L1615" s="328"/>
      <c r="M1615" s="328"/>
      <c r="N1615" s="328"/>
      <c r="O1615" s="328"/>
      <c r="P1615" s="328"/>
      <c r="Q1615" s="328"/>
      <c r="R1615" s="328"/>
      <c r="S1615" s="328"/>
    </row>
    <row r="1616" spans="1:19" s="409" customFormat="1" x14ac:dyDescent="0.25">
      <c r="A1616" s="368" t="s">
        <v>3943</v>
      </c>
      <c r="B1616" s="327" t="s">
        <v>0</v>
      </c>
      <c r="C1616" s="327" t="s">
        <v>238</v>
      </c>
      <c r="D1616" s="581" t="s">
        <v>4093</v>
      </c>
      <c r="E1616" s="387">
        <v>226261</v>
      </c>
      <c r="F1616" s="597" t="s">
        <v>4136</v>
      </c>
      <c r="G1616" s="578">
        <v>187.9</v>
      </c>
      <c r="H1616" s="597" t="s">
        <v>4180</v>
      </c>
      <c r="I1616" s="597"/>
      <c r="J1616" s="327" t="s">
        <v>4101</v>
      </c>
      <c r="K1616" s="328"/>
      <c r="L1616" s="328"/>
      <c r="M1616" s="328"/>
      <c r="N1616" s="328"/>
      <c r="O1616" s="328"/>
      <c r="P1616" s="328"/>
      <c r="Q1616" s="328"/>
      <c r="R1616" s="328"/>
      <c r="S1616" s="328"/>
    </row>
    <row r="1617" spans="1:19" s="409" customFormat="1" x14ac:dyDescent="0.25">
      <c r="A1617" s="368" t="s">
        <v>3943</v>
      </c>
      <c r="B1617" s="327" t="s">
        <v>0</v>
      </c>
      <c r="C1617" s="327" t="s">
        <v>238</v>
      </c>
      <c r="D1617" s="581" t="s">
        <v>202</v>
      </c>
      <c r="E1617" s="387">
        <v>650412</v>
      </c>
      <c r="F1617" s="597" t="s">
        <v>4008</v>
      </c>
      <c r="G1617" s="578">
        <v>59.95</v>
      </c>
      <c r="H1617" s="597">
        <v>3370831</v>
      </c>
      <c r="I1617" s="597"/>
      <c r="J1617" s="327" t="s">
        <v>3998</v>
      </c>
      <c r="K1617" s="328"/>
      <c r="L1617" s="328"/>
      <c r="M1617" s="328"/>
      <c r="N1617" s="328"/>
      <c r="O1617" s="328"/>
      <c r="P1617" s="328"/>
      <c r="Q1617" s="328"/>
      <c r="R1617" s="328"/>
      <c r="S1617" s="328"/>
    </row>
    <row r="1618" spans="1:19" s="409" customFormat="1" x14ac:dyDescent="0.25">
      <c r="A1618" s="368" t="s">
        <v>3943</v>
      </c>
      <c r="B1618" s="327" t="s">
        <v>0</v>
      </c>
      <c r="C1618" s="327" t="s">
        <v>238</v>
      </c>
      <c r="D1618" s="581" t="s">
        <v>3259</v>
      </c>
      <c r="E1618" s="387">
        <v>225642</v>
      </c>
      <c r="F1618" s="597" t="s">
        <v>3991</v>
      </c>
      <c r="G1618" s="578">
        <v>54.95</v>
      </c>
      <c r="H1618" s="597">
        <v>3372144</v>
      </c>
      <c r="I1618" s="597"/>
      <c r="J1618" s="327" t="s">
        <v>3988</v>
      </c>
      <c r="K1618" s="328"/>
      <c r="L1618" s="328"/>
      <c r="M1618" s="328"/>
      <c r="N1618" s="328"/>
      <c r="O1618" s="328"/>
      <c r="P1618" s="328"/>
      <c r="Q1618" s="328"/>
      <c r="R1618" s="328"/>
      <c r="S1618" s="328"/>
    </row>
    <row r="1619" spans="1:19" s="409" customFormat="1" x14ac:dyDescent="0.25">
      <c r="A1619" s="368" t="s">
        <v>3943</v>
      </c>
      <c r="B1619" s="327" t="s">
        <v>0</v>
      </c>
      <c r="C1619" s="327" t="s">
        <v>238</v>
      </c>
      <c r="D1619" s="581" t="s">
        <v>3235</v>
      </c>
      <c r="E1619" s="387">
        <v>1174</v>
      </c>
      <c r="F1619" s="597" t="s">
        <v>3968</v>
      </c>
      <c r="G1619" s="578">
        <v>34.25</v>
      </c>
      <c r="H1619" s="597">
        <v>3372380</v>
      </c>
      <c r="I1619" s="597"/>
      <c r="J1619" s="327" t="s">
        <v>3961</v>
      </c>
      <c r="K1619" s="328"/>
      <c r="L1619" s="328"/>
      <c r="M1619" s="328"/>
      <c r="N1619" s="328"/>
      <c r="O1619" s="328"/>
      <c r="P1619" s="328"/>
      <c r="Q1619" s="328"/>
      <c r="R1619" s="328"/>
      <c r="S1619" s="328"/>
    </row>
    <row r="1620" spans="1:19" s="409" customFormat="1" x14ac:dyDescent="0.25">
      <c r="A1620" s="368" t="s">
        <v>3943</v>
      </c>
      <c r="B1620" s="327" t="s">
        <v>0</v>
      </c>
      <c r="C1620" s="327" t="s">
        <v>238</v>
      </c>
      <c r="D1620" s="581" t="s">
        <v>2114</v>
      </c>
      <c r="E1620" s="387">
        <v>215864</v>
      </c>
      <c r="F1620" s="597" t="s">
        <v>4114</v>
      </c>
      <c r="G1620" s="578">
        <v>64.95</v>
      </c>
      <c r="H1620" s="597" t="s">
        <v>4156</v>
      </c>
      <c r="I1620" s="597"/>
      <c r="J1620" s="327" t="s">
        <v>4069</v>
      </c>
      <c r="K1620" s="328"/>
      <c r="L1620" s="328"/>
      <c r="M1620" s="328"/>
      <c r="N1620" s="328"/>
      <c r="O1620" s="328"/>
      <c r="P1620" s="328"/>
      <c r="Q1620" s="328"/>
      <c r="R1620" s="328"/>
      <c r="S1620" s="328"/>
    </row>
    <row r="1621" spans="1:19" s="409" customFormat="1" x14ac:dyDescent="0.25">
      <c r="A1621" s="368" t="s">
        <v>3943</v>
      </c>
      <c r="B1621" s="327" t="s">
        <v>0</v>
      </c>
      <c r="C1621" s="327" t="s">
        <v>238</v>
      </c>
      <c r="D1621" s="581" t="s">
        <v>4096</v>
      </c>
      <c r="E1621" s="387">
        <v>353026</v>
      </c>
      <c r="F1621" s="597" t="s">
        <v>4141</v>
      </c>
      <c r="G1621" s="578">
        <v>122.95</v>
      </c>
      <c r="H1621" s="597" t="s">
        <v>4187</v>
      </c>
      <c r="I1621" s="597"/>
      <c r="J1621" s="327" t="s">
        <v>4106</v>
      </c>
      <c r="K1621" s="328"/>
      <c r="L1621" s="328"/>
      <c r="M1621" s="328"/>
      <c r="N1621" s="328"/>
      <c r="O1621" s="328"/>
      <c r="P1621" s="328"/>
      <c r="Q1621" s="328"/>
      <c r="R1621" s="328"/>
      <c r="S1621" s="328"/>
    </row>
    <row r="1622" spans="1:19" s="409" customFormat="1" x14ac:dyDescent="0.25">
      <c r="A1622" s="368" t="s">
        <v>3943</v>
      </c>
      <c r="B1622" s="327" t="s">
        <v>0</v>
      </c>
      <c r="C1622" s="327" t="s">
        <v>238</v>
      </c>
      <c r="D1622" s="581" t="s">
        <v>66</v>
      </c>
      <c r="E1622" s="387">
        <v>214930</v>
      </c>
      <c r="F1622" s="597" t="s">
        <v>4012</v>
      </c>
      <c r="G1622" s="578">
        <v>65.819999999999993</v>
      </c>
      <c r="H1622" s="597">
        <v>3375058</v>
      </c>
      <c r="I1622" s="597"/>
      <c r="J1622" s="327" t="s">
        <v>4002</v>
      </c>
      <c r="K1622" s="328"/>
      <c r="L1622" s="328"/>
      <c r="M1622" s="328"/>
      <c r="N1622" s="328"/>
      <c r="O1622" s="328"/>
      <c r="P1622" s="328"/>
      <c r="Q1622" s="328"/>
      <c r="R1622" s="328"/>
      <c r="S1622" s="328"/>
    </row>
    <row r="1623" spans="1:19" s="409" customFormat="1" x14ac:dyDescent="0.25">
      <c r="A1623" s="368" t="s">
        <v>3943</v>
      </c>
      <c r="B1623" s="327" t="s">
        <v>0</v>
      </c>
      <c r="C1623" s="327" t="s">
        <v>238</v>
      </c>
      <c r="D1623" s="581" t="s">
        <v>3660</v>
      </c>
      <c r="E1623" s="387">
        <v>350478</v>
      </c>
      <c r="F1623" s="597" t="s">
        <v>4047</v>
      </c>
      <c r="G1623" s="578">
        <v>79.900000000000006</v>
      </c>
      <c r="H1623" s="597">
        <v>3378402</v>
      </c>
      <c r="I1623" s="597"/>
      <c r="J1623" s="327" t="s">
        <v>4035</v>
      </c>
      <c r="K1623" s="328"/>
      <c r="L1623" s="328"/>
      <c r="M1623" s="328"/>
      <c r="N1623" s="328"/>
      <c r="O1623" s="328"/>
      <c r="P1623" s="328"/>
      <c r="Q1623" s="328"/>
      <c r="R1623" s="328"/>
      <c r="S1623" s="328"/>
    </row>
    <row r="1624" spans="1:19" s="409" customFormat="1" x14ac:dyDescent="0.25">
      <c r="A1624" s="368" t="s">
        <v>3943</v>
      </c>
      <c r="B1624" s="327" t="s">
        <v>0</v>
      </c>
      <c r="C1624" s="327" t="s">
        <v>238</v>
      </c>
      <c r="D1624" s="581" t="s">
        <v>3965</v>
      </c>
      <c r="E1624" s="387">
        <v>351729</v>
      </c>
      <c r="F1624" s="597" t="s">
        <v>3969</v>
      </c>
      <c r="G1624" s="578">
        <v>35.9</v>
      </c>
      <c r="H1624" s="597">
        <v>3378405</v>
      </c>
      <c r="I1624" s="597"/>
      <c r="J1624" s="327" t="s">
        <v>3963</v>
      </c>
      <c r="K1624" s="328"/>
      <c r="L1624" s="328"/>
      <c r="M1624" s="328"/>
      <c r="N1624" s="328"/>
      <c r="O1624" s="328"/>
      <c r="P1624" s="328"/>
      <c r="Q1624" s="328"/>
      <c r="R1624" s="328"/>
      <c r="S1624" s="328"/>
    </row>
    <row r="1625" spans="1:19" s="409" customFormat="1" x14ac:dyDescent="0.25">
      <c r="A1625" s="368" t="s">
        <v>3943</v>
      </c>
      <c r="B1625" s="327" t="s">
        <v>0</v>
      </c>
      <c r="C1625" s="327" t="s">
        <v>238</v>
      </c>
      <c r="D1625" s="581" t="s">
        <v>3229</v>
      </c>
      <c r="E1625" s="387">
        <v>350086</v>
      </c>
      <c r="F1625" s="597" t="s">
        <v>3958</v>
      </c>
      <c r="G1625" s="578">
        <v>24.95</v>
      </c>
      <c r="H1625" s="597">
        <v>3378626</v>
      </c>
      <c r="I1625" s="597"/>
      <c r="J1625" s="327" t="s">
        <v>3956</v>
      </c>
      <c r="K1625" s="328"/>
      <c r="L1625" s="328"/>
      <c r="M1625" s="328"/>
      <c r="N1625" s="328"/>
      <c r="O1625" s="328"/>
      <c r="P1625" s="328"/>
      <c r="Q1625" s="328"/>
      <c r="R1625" s="328"/>
      <c r="S1625" s="328"/>
    </row>
    <row r="1626" spans="1:19" s="409" customFormat="1" x14ac:dyDescent="0.25">
      <c r="A1626" s="368" t="s">
        <v>3943</v>
      </c>
      <c r="B1626" s="327" t="s">
        <v>0</v>
      </c>
      <c r="C1626" s="327" t="s">
        <v>238</v>
      </c>
      <c r="D1626" s="581" t="s">
        <v>1470</v>
      </c>
      <c r="E1626" s="387">
        <v>350586</v>
      </c>
      <c r="F1626" s="597" t="s">
        <v>4127</v>
      </c>
      <c r="G1626" s="578">
        <v>63.7</v>
      </c>
      <c r="H1626" s="597" t="s">
        <v>4171</v>
      </c>
      <c r="I1626" s="597"/>
      <c r="J1626" s="327" t="s">
        <v>4081</v>
      </c>
      <c r="K1626" s="328"/>
      <c r="L1626" s="328"/>
      <c r="M1626" s="328"/>
      <c r="N1626" s="328"/>
      <c r="O1626" s="328"/>
      <c r="P1626" s="328"/>
      <c r="Q1626" s="328"/>
      <c r="R1626" s="328"/>
      <c r="S1626" s="328"/>
    </row>
    <row r="1627" spans="1:19" s="409" customFormat="1" x14ac:dyDescent="0.25">
      <c r="A1627" s="368" t="s">
        <v>3943</v>
      </c>
      <c r="B1627" s="327" t="s">
        <v>0</v>
      </c>
      <c r="C1627" s="327" t="s">
        <v>238</v>
      </c>
      <c r="D1627" s="581" t="s">
        <v>3092</v>
      </c>
      <c r="E1627" s="387">
        <v>223563</v>
      </c>
      <c r="F1627" s="597" t="s">
        <v>3975</v>
      </c>
      <c r="G1627" s="578">
        <v>41.08</v>
      </c>
      <c r="H1627" s="597">
        <v>3379741</v>
      </c>
      <c r="I1627" s="597"/>
      <c r="J1627" s="327" t="s">
        <v>3973</v>
      </c>
      <c r="K1627" s="328"/>
      <c r="L1627" s="328"/>
      <c r="M1627" s="328"/>
      <c r="N1627" s="328"/>
      <c r="O1627" s="328"/>
      <c r="P1627" s="328"/>
      <c r="Q1627" s="328"/>
      <c r="R1627" s="328"/>
      <c r="S1627" s="328"/>
    </row>
    <row r="1628" spans="1:19" s="409" customFormat="1" x14ac:dyDescent="0.25">
      <c r="A1628" s="368" t="s">
        <v>3943</v>
      </c>
      <c r="B1628" s="327" t="s">
        <v>0</v>
      </c>
      <c r="C1628" s="327" t="s">
        <v>238</v>
      </c>
      <c r="D1628" s="581" t="s">
        <v>4004</v>
      </c>
      <c r="E1628" s="387">
        <v>212074</v>
      </c>
      <c r="F1628" s="597" t="s">
        <v>4010</v>
      </c>
      <c r="G1628" s="578">
        <v>62.36</v>
      </c>
      <c r="H1628" s="597">
        <v>3380333</v>
      </c>
      <c r="I1628" s="597"/>
      <c r="J1628" s="327" t="s">
        <v>4000</v>
      </c>
      <c r="K1628" s="328"/>
      <c r="L1628" s="328"/>
      <c r="M1628" s="328"/>
      <c r="N1628" s="328"/>
      <c r="O1628" s="328"/>
      <c r="P1628" s="328"/>
      <c r="Q1628" s="328"/>
      <c r="R1628" s="328"/>
      <c r="S1628" s="328"/>
    </row>
    <row r="1629" spans="1:19" s="409" customFormat="1" x14ac:dyDescent="0.25">
      <c r="A1629" s="368" t="s">
        <v>3943</v>
      </c>
      <c r="B1629" s="327" t="s">
        <v>0</v>
      </c>
      <c r="C1629" s="327" t="s">
        <v>238</v>
      </c>
      <c r="D1629" s="581" t="s">
        <v>2993</v>
      </c>
      <c r="E1629" s="387">
        <v>487</v>
      </c>
      <c r="F1629" s="597" t="s">
        <v>4013</v>
      </c>
      <c r="G1629" s="578">
        <v>58.38</v>
      </c>
      <c r="H1629" s="597">
        <v>3380730</v>
      </c>
      <c r="I1629" s="597"/>
      <c r="J1629" s="327" t="s">
        <v>3996</v>
      </c>
      <c r="K1629" s="328"/>
      <c r="L1629" s="328"/>
      <c r="M1629" s="328"/>
      <c r="N1629" s="328"/>
      <c r="O1629" s="328"/>
      <c r="P1629" s="328"/>
      <c r="Q1629" s="328"/>
      <c r="R1629" s="328"/>
      <c r="S1629" s="328"/>
    </row>
    <row r="1630" spans="1:19" s="409" customFormat="1" x14ac:dyDescent="0.25">
      <c r="A1630" s="368" t="s">
        <v>3943</v>
      </c>
      <c r="B1630" s="327" t="s">
        <v>0</v>
      </c>
      <c r="C1630" s="327" t="s">
        <v>238</v>
      </c>
      <c r="D1630" s="581" t="s">
        <v>1989</v>
      </c>
      <c r="E1630" s="387">
        <v>353346</v>
      </c>
      <c r="F1630" s="597" t="s">
        <v>4113</v>
      </c>
      <c r="G1630" s="578">
        <v>117.46</v>
      </c>
      <c r="H1630" s="597" t="s">
        <v>4154</v>
      </c>
      <c r="I1630" s="597"/>
      <c r="J1630" s="327" t="s">
        <v>4068</v>
      </c>
      <c r="K1630" s="328"/>
      <c r="L1630" s="328"/>
      <c r="M1630" s="328"/>
      <c r="N1630" s="328"/>
      <c r="O1630" s="328"/>
      <c r="P1630" s="328"/>
      <c r="Q1630" s="328"/>
      <c r="R1630" s="328"/>
      <c r="S1630" s="328"/>
    </row>
    <row r="1631" spans="1:19" s="409" customFormat="1" x14ac:dyDescent="0.25">
      <c r="A1631" s="368" t="s">
        <v>3943</v>
      </c>
      <c r="B1631" s="327" t="s">
        <v>0</v>
      </c>
      <c r="C1631" s="327" t="s">
        <v>238</v>
      </c>
      <c r="D1631" s="581" t="s">
        <v>4085</v>
      </c>
      <c r="E1631" s="387">
        <v>212302</v>
      </c>
      <c r="F1631" s="597" t="s">
        <v>4123</v>
      </c>
      <c r="G1631" s="578">
        <v>151.80000000000001</v>
      </c>
      <c r="H1631" s="597" t="s">
        <v>4166</v>
      </c>
      <c r="I1631" s="597"/>
      <c r="J1631" s="327" t="s">
        <v>4078</v>
      </c>
      <c r="K1631" s="328"/>
      <c r="L1631" s="328"/>
      <c r="M1631" s="328"/>
      <c r="N1631" s="328"/>
      <c r="O1631" s="328"/>
      <c r="P1631" s="328"/>
      <c r="Q1631" s="328"/>
      <c r="R1631" s="328"/>
      <c r="S1631" s="328"/>
    </row>
    <row r="1632" spans="1:19" s="409" customFormat="1" x14ac:dyDescent="0.25">
      <c r="A1632" s="368" t="s">
        <v>3943</v>
      </c>
      <c r="B1632" s="327" t="s">
        <v>0</v>
      </c>
      <c r="C1632" s="327" t="s">
        <v>238</v>
      </c>
      <c r="D1632" s="581" t="s">
        <v>2151</v>
      </c>
      <c r="E1632" s="387">
        <v>213229</v>
      </c>
      <c r="F1632" s="597" t="s">
        <v>4125</v>
      </c>
      <c r="G1632" s="578">
        <v>84.9</v>
      </c>
      <c r="H1632" s="597" t="s">
        <v>4169</v>
      </c>
      <c r="I1632" s="597"/>
      <c r="J1632" s="327" t="s">
        <v>4080</v>
      </c>
      <c r="K1632" s="328"/>
      <c r="L1632" s="328"/>
      <c r="M1632" s="328"/>
      <c r="N1632" s="328"/>
      <c r="O1632" s="328"/>
      <c r="P1632" s="328"/>
      <c r="Q1632" s="328"/>
      <c r="R1632" s="328"/>
      <c r="S1632" s="328"/>
    </row>
    <row r="1633" spans="1:19" s="409" customFormat="1" x14ac:dyDescent="0.25">
      <c r="A1633" s="368" t="s">
        <v>3943</v>
      </c>
      <c r="B1633" s="327" t="s">
        <v>0</v>
      </c>
      <c r="C1633" s="327" t="s">
        <v>238</v>
      </c>
      <c r="D1633" s="581" t="s">
        <v>4092</v>
      </c>
      <c r="E1633" s="387">
        <v>352780</v>
      </c>
      <c r="F1633" s="597" t="s">
        <v>4134</v>
      </c>
      <c r="G1633" s="578">
        <v>182.83</v>
      </c>
      <c r="H1633" s="597" t="s">
        <v>4178</v>
      </c>
      <c r="I1633" s="597"/>
      <c r="J1633" s="327" t="s">
        <v>4099</v>
      </c>
      <c r="K1633" s="328"/>
      <c r="L1633" s="328"/>
      <c r="M1633" s="328"/>
      <c r="N1633" s="328"/>
      <c r="O1633" s="328"/>
      <c r="P1633" s="328"/>
      <c r="Q1633" s="328"/>
      <c r="R1633" s="328"/>
      <c r="S1633" s="328"/>
    </row>
    <row r="1634" spans="1:19" s="409" customFormat="1" x14ac:dyDescent="0.25">
      <c r="A1634" s="368" t="s">
        <v>3943</v>
      </c>
      <c r="B1634" s="327" t="s">
        <v>0</v>
      </c>
      <c r="C1634" s="327" t="s">
        <v>238</v>
      </c>
      <c r="D1634" s="581" t="s">
        <v>1488</v>
      </c>
      <c r="E1634" s="387">
        <v>351780</v>
      </c>
      <c r="F1634" s="597" t="s">
        <v>4060</v>
      </c>
      <c r="G1634" s="578">
        <v>94.9</v>
      </c>
      <c r="H1634" s="597">
        <v>3386612</v>
      </c>
      <c r="I1634" s="597"/>
      <c r="J1634" s="327" t="s">
        <v>4056</v>
      </c>
      <c r="K1634" s="328"/>
      <c r="L1634" s="328"/>
      <c r="M1634" s="328"/>
      <c r="N1634" s="328"/>
      <c r="O1634" s="328"/>
      <c r="P1634" s="328"/>
      <c r="Q1634" s="328"/>
      <c r="R1634" s="328"/>
      <c r="S1634" s="328"/>
    </row>
    <row r="1635" spans="1:19" s="409" customFormat="1" x14ac:dyDescent="0.25">
      <c r="A1635" s="368" t="s">
        <v>3943</v>
      </c>
      <c r="B1635" s="327" t="s">
        <v>0</v>
      </c>
      <c r="C1635" s="327" t="s">
        <v>238</v>
      </c>
      <c r="D1635" s="581" t="s">
        <v>4043</v>
      </c>
      <c r="E1635" s="387">
        <v>353584</v>
      </c>
      <c r="F1635" s="597" t="s">
        <v>4048</v>
      </c>
      <c r="G1635" s="578">
        <v>84.75</v>
      </c>
      <c r="H1635" s="597">
        <v>3387274</v>
      </c>
      <c r="I1635" s="597"/>
      <c r="J1635" s="327" t="s">
        <v>4039</v>
      </c>
      <c r="K1635" s="328"/>
      <c r="L1635" s="328"/>
      <c r="M1635" s="328"/>
      <c r="N1635" s="328"/>
      <c r="O1635" s="328"/>
      <c r="P1635" s="328"/>
      <c r="Q1635" s="328"/>
      <c r="R1635" s="328"/>
      <c r="S1635" s="328"/>
    </row>
    <row r="1636" spans="1:19" s="409" customFormat="1" x14ac:dyDescent="0.25">
      <c r="A1636" s="368" t="s">
        <v>3943</v>
      </c>
      <c r="B1636" s="327" t="s">
        <v>0</v>
      </c>
      <c r="C1636" s="327" t="s">
        <v>238</v>
      </c>
      <c r="D1636" s="581" t="s">
        <v>1426</v>
      </c>
      <c r="E1636" s="387">
        <v>351837</v>
      </c>
      <c r="F1636" s="597" t="s">
        <v>4117</v>
      </c>
      <c r="G1636" s="578">
        <v>134.88</v>
      </c>
      <c r="H1636" s="597" t="s">
        <v>4159</v>
      </c>
      <c r="I1636" s="597"/>
      <c r="J1636" s="327" t="s">
        <v>4072</v>
      </c>
      <c r="K1636" s="328"/>
      <c r="L1636" s="328"/>
      <c r="M1636" s="328"/>
      <c r="N1636" s="328"/>
      <c r="O1636" s="328"/>
      <c r="P1636" s="328"/>
      <c r="Q1636" s="328"/>
      <c r="R1636" s="328"/>
      <c r="S1636" s="328"/>
    </row>
    <row r="1637" spans="1:19" s="409" customFormat="1" x14ac:dyDescent="0.25">
      <c r="A1637" s="368" t="s">
        <v>3943</v>
      </c>
      <c r="B1637" s="327" t="s">
        <v>0</v>
      </c>
      <c r="C1637" s="327" t="s">
        <v>238</v>
      </c>
      <c r="D1637" s="581" t="s">
        <v>292</v>
      </c>
      <c r="E1637" s="387">
        <v>350536</v>
      </c>
      <c r="F1637" s="597" t="s">
        <v>4139</v>
      </c>
      <c r="G1637" s="578">
        <v>223.15</v>
      </c>
      <c r="H1637" s="597" t="s">
        <v>4183</v>
      </c>
      <c r="I1637" s="597"/>
      <c r="J1637" s="327" t="s">
        <v>4104</v>
      </c>
      <c r="K1637" s="328"/>
      <c r="L1637" s="328"/>
      <c r="M1637" s="328"/>
      <c r="N1637" s="328"/>
      <c r="O1637" s="328"/>
      <c r="P1637" s="328"/>
      <c r="Q1637" s="328"/>
      <c r="R1637" s="328"/>
      <c r="S1637" s="328"/>
    </row>
    <row r="1638" spans="1:19" s="409" customFormat="1" x14ac:dyDescent="0.25">
      <c r="A1638" s="368" t="s">
        <v>3943</v>
      </c>
      <c r="B1638" s="327" t="s">
        <v>0</v>
      </c>
      <c r="C1638" s="327" t="s">
        <v>238</v>
      </c>
      <c r="D1638" s="581" t="s">
        <v>1710</v>
      </c>
      <c r="E1638" s="387">
        <v>351488</v>
      </c>
      <c r="F1638" s="597" t="s">
        <v>4126</v>
      </c>
      <c r="G1638" s="578">
        <v>106.04</v>
      </c>
      <c r="H1638" s="597" t="s">
        <v>4151</v>
      </c>
      <c r="I1638" s="597"/>
      <c r="J1638" s="327" t="s">
        <v>4065</v>
      </c>
      <c r="K1638" s="328"/>
      <c r="L1638" s="328"/>
      <c r="M1638" s="328"/>
      <c r="N1638" s="328"/>
      <c r="O1638" s="328"/>
      <c r="P1638" s="328"/>
      <c r="Q1638" s="328"/>
      <c r="R1638" s="328"/>
      <c r="S1638" s="328"/>
    </row>
    <row r="1639" spans="1:19" s="409" customFormat="1" x14ac:dyDescent="0.25">
      <c r="A1639" s="368" t="s">
        <v>3943</v>
      </c>
      <c r="B1639" s="327" t="s">
        <v>0</v>
      </c>
      <c r="C1639" s="327" t="s">
        <v>238</v>
      </c>
      <c r="D1639" s="581" t="s">
        <v>4031</v>
      </c>
      <c r="E1639" s="387">
        <v>350514</v>
      </c>
      <c r="F1639" s="597" t="s">
        <v>4033</v>
      </c>
      <c r="G1639" s="578">
        <v>75.900000000000006</v>
      </c>
      <c r="H1639" s="597">
        <v>3389655</v>
      </c>
      <c r="I1639" s="597"/>
      <c r="J1639" s="327" t="s">
        <v>4029</v>
      </c>
      <c r="K1639" s="328"/>
      <c r="L1639" s="328"/>
      <c r="M1639" s="328"/>
      <c r="N1639" s="328"/>
      <c r="O1639" s="328"/>
      <c r="P1639" s="328"/>
      <c r="Q1639" s="328"/>
      <c r="R1639" s="328"/>
      <c r="S1639" s="328"/>
    </row>
    <row r="1640" spans="1:19" s="409" customFormat="1" x14ac:dyDescent="0.25">
      <c r="A1640" s="368" t="s">
        <v>3943</v>
      </c>
      <c r="B1640" s="327" t="s">
        <v>0</v>
      </c>
      <c r="C1640" s="327" t="s">
        <v>238</v>
      </c>
      <c r="D1640" s="581" t="s">
        <v>3607</v>
      </c>
      <c r="E1640" s="387">
        <v>226537</v>
      </c>
      <c r="F1640" s="597" t="s">
        <v>4022</v>
      </c>
      <c r="G1640" s="578">
        <v>70.95</v>
      </c>
      <c r="H1640" s="597">
        <v>3390783</v>
      </c>
      <c r="I1640" s="597"/>
      <c r="J1640" s="327" t="s">
        <v>4017</v>
      </c>
      <c r="K1640" s="328"/>
      <c r="L1640" s="328"/>
      <c r="M1640" s="328"/>
      <c r="N1640" s="328"/>
      <c r="O1640" s="328"/>
      <c r="P1640" s="328"/>
      <c r="Q1640" s="328"/>
      <c r="R1640" s="328"/>
      <c r="S1640" s="328"/>
    </row>
    <row r="1641" spans="1:19" s="409" customFormat="1" x14ac:dyDescent="0.25">
      <c r="A1641" s="368" t="s">
        <v>3943</v>
      </c>
      <c r="B1641" s="327" t="s">
        <v>0</v>
      </c>
      <c r="C1641" s="327" t="s">
        <v>238</v>
      </c>
      <c r="D1641" s="581" t="s">
        <v>2151</v>
      </c>
      <c r="E1641" s="387">
        <v>213229</v>
      </c>
      <c r="F1641" s="597" t="s">
        <v>4147</v>
      </c>
      <c r="G1641" s="578">
        <f>69.98</f>
        <v>69.98</v>
      </c>
      <c r="H1641" s="597" t="s">
        <v>4168</v>
      </c>
      <c r="I1641" s="597"/>
      <c r="J1641" s="327" t="s">
        <v>4080</v>
      </c>
      <c r="K1641" s="328"/>
      <c r="L1641" s="328"/>
      <c r="M1641" s="328"/>
      <c r="N1641" s="328"/>
      <c r="O1641" s="328"/>
      <c r="P1641" s="328"/>
      <c r="Q1641" s="328"/>
      <c r="R1641" s="328"/>
      <c r="S1641" s="328"/>
    </row>
    <row r="1642" spans="1:19" s="409" customFormat="1" x14ac:dyDescent="0.25">
      <c r="A1642" s="368" t="s">
        <v>3943</v>
      </c>
      <c r="B1642" s="327" t="s">
        <v>0</v>
      </c>
      <c r="C1642" s="327" t="s">
        <v>2688</v>
      </c>
      <c r="D1642" s="581" t="s">
        <v>2234</v>
      </c>
      <c r="E1642" s="387">
        <v>3503018</v>
      </c>
      <c r="F1642" s="597" t="s">
        <v>3792</v>
      </c>
      <c r="G1642" s="578">
        <v>-29.63</v>
      </c>
      <c r="H1642" s="597">
        <v>3362165</v>
      </c>
      <c r="I1642" s="597"/>
      <c r="J1642" s="327" t="s">
        <v>3953</v>
      </c>
      <c r="K1642" s="328"/>
      <c r="L1642" s="328"/>
      <c r="M1642" s="328"/>
      <c r="N1642" s="328"/>
      <c r="O1642" s="328"/>
      <c r="P1642" s="328"/>
      <c r="Q1642" s="328"/>
      <c r="R1642" s="328"/>
      <c r="S1642" s="328"/>
    </row>
    <row r="1643" spans="1:19" s="409" customFormat="1" x14ac:dyDescent="0.25">
      <c r="A1643" s="368" t="s">
        <v>3943</v>
      </c>
      <c r="B1643" s="327" t="s">
        <v>0</v>
      </c>
      <c r="C1643" s="327" t="s">
        <v>238</v>
      </c>
      <c r="D1643" s="581" t="s">
        <v>112</v>
      </c>
      <c r="E1643" s="387">
        <v>350818</v>
      </c>
      <c r="F1643" s="597" t="s">
        <v>3971</v>
      </c>
      <c r="G1643" s="578">
        <v>36.950000000000003</v>
      </c>
      <c r="H1643" s="597">
        <v>3362371</v>
      </c>
      <c r="I1643" s="597"/>
      <c r="J1643" s="327" t="s">
        <v>3964</v>
      </c>
      <c r="K1643" s="328"/>
      <c r="L1643" s="328"/>
      <c r="M1643" s="328"/>
      <c r="N1643" s="328"/>
      <c r="O1643" s="328"/>
      <c r="P1643" s="328"/>
      <c r="Q1643" s="328"/>
      <c r="R1643" s="328"/>
      <c r="S1643" s="328"/>
    </row>
    <row r="1644" spans="1:19" s="409" customFormat="1" x14ac:dyDescent="0.25">
      <c r="A1644" s="368" t="s">
        <v>3943</v>
      </c>
      <c r="B1644" s="327" t="s">
        <v>0</v>
      </c>
      <c r="C1644" s="327" t="s">
        <v>238</v>
      </c>
      <c r="D1644" s="581" t="s">
        <v>3935</v>
      </c>
      <c r="E1644" s="387">
        <v>351505</v>
      </c>
      <c r="F1644" s="597" t="s">
        <v>4142</v>
      </c>
      <c r="G1644" s="578">
        <v>279.95</v>
      </c>
      <c r="H1644" s="597" t="s">
        <v>4188</v>
      </c>
      <c r="I1644" s="597"/>
      <c r="J1644" s="327" t="s">
        <v>4107</v>
      </c>
      <c r="K1644" s="328"/>
      <c r="L1644" s="328"/>
      <c r="M1644" s="328"/>
      <c r="N1644" s="328"/>
      <c r="O1644" s="328"/>
      <c r="P1644" s="328"/>
      <c r="Q1644" s="328"/>
      <c r="R1644" s="328"/>
      <c r="S1644" s="328"/>
    </row>
    <row r="1645" spans="1:19" s="409" customFormat="1" x14ac:dyDescent="0.25">
      <c r="A1645" s="368" t="s">
        <v>3943</v>
      </c>
      <c r="B1645" s="327" t="s">
        <v>0</v>
      </c>
      <c r="C1645" s="327" t="s">
        <v>238</v>
      </c>
      <c r="D1645" s="581" t="s">
        <v>2114</v>
      </c>
      <c r="E1645" s="387">
        <v>315864</v>
      </c>
      <c r="F1645" s="597" t="s">
        <v>4145</v>
      </c>
      <c r="G1645" s="578">
        <f>54.95</f>
        <v>54.95</v>
      </c>
      <c r="H1645" s="597" t="s">
        <v>4155</v>
      </c>
      <c r="I1645" s="597"/>
      <c r="J1645" s="327" t="s">
        <v>4069</v>
      </c>
      <c r="K1645" s="328"/>
      <c r="L1645" s="328"/>
      <c r="M1645" s="328"/>
      <c r="N1645" s="328"/>
      <c r="O1645" s="328"/>
      <c r="P1645" s="328"/>
      <c r="Q1645" s="328"/>
      <c r="R1645" s="328"/>
      <c r="S1645" s="328"/>
    </row>
    <row r="1646" spans="1:19" s="409" customFormat="1" x14ac:dyDescent="0.25">
      <c r="A1646" s="368" t="s">
        <v>3943</v>
      </c>
      <c r="B1646" s="327" t="s">
        <v>0</v>
      </c>
      <c r="C1646" s="327" t="s">
        <v>238</v>
      </c>
      <c r="D1646" s="581" t="s">
        <v>3325</v>
      </c>
      <c r="E1646" s="387">
        <v>350394</v>
      </c>
      <c r="F1646" s="597" t="s">
        <v>3974</v>
      </c>
      <c r="G1646" s="578">
        <v>40.229999999999997</v>
      </c>
      <c r="H1646" s="597">
        <v>3367334</v>
      </c>
      <c r="I1646" s="597"/>
      <c r="J1646" s="327" t="s">
        <v>3972</v>
      </c>
      <c r="K1646" s="328"/>
      <c r="L1646" s="328"/>
      <c r="M1646" s="328"/>
      <c r="N1646" s="328"/>
      <c r="O1646" s="328"/>
      <c r="P1646" s="328"/>
      <c r="Q1646" s="328"/>
      <c r="R1646" s="328"/>
      <c r="S1646" s="328"/>
    </row>
    <row r="1647" spans="1:19" s="409" customFormat="1" x14ac:dyDescent="0.25">
      <c r="A1647" s="368" t="s">
        <v>3943</v>
      </c>
      <c r="B1647" s="327" t="s">
        <v>0</v>
      </c>
      <c r="C1647" s="327" t="s">
        <v>238</v>
      </c>
      <c r="D1647" s="581" t="s">
        <v>4097</v>
      </c>
      <c r="E1647" s="387">
        <v>350034</v>
      </c>
      <c r="F1647" s="597" t="s">
        <v>4143</v>
      </c>
      <c r="G1647" s="578">
        <v>411.8</v>
      </c>
      <c r="H1647" s="597" t="s">
        <v>4189</v>
      </c>
      <c r="I1647" s="597"/>
      <c r="J1647" s="327" t="s">
        <v>4108</v>
      </c>
      <c r="K1647" s="328"/>
      <c r="L1647" s="328"/>
      <c r="M1647" s="328"/>
      <c r="N1647" s="328"/>
      <c r="O1647" s="328"/>
      <c r="P1647" s="328"/>
      <c r="Q1647" s="328"/>
      <c r="R1647" s="328"/>
      <c r="S1647" s="328"/>
    </row>
    <row r="1648" spans="1:19" s="409" customFormat="1" x14ac:dyDescent="0.25">
      <c r="A1648" s="368" t="s">
        <v>3943</v>
      </c>
      <c r="B1648" s="327" t="s">
        <v>0</v>
      </c>
      <c r="C1648" s="327" t="s">
        <v>238</v>
      </c>
      <c r="D1648" s="581" t="s">
        <v>4083</v>
      </c>
      <c r="E1648" s="387">
        <v>226275</v>
      </c>
      <c r="F1648" s="597" t="s">
        <v>4119</v>
      </c>
      <c r="G1648" s="578">
        <v>138.94999999999999</v>
      </c>
      <c r="H1648" s="597" t="s">
        <v>4162</v>
      </c>
      <c r="I1648" s="597"/>
      <c r="J1648" s="327" t="s">
        <v>4074</v>
      </c>
      <c r="K1648" s="328"/>
      <c r="L1648" s="328"/>
      <c r="M1648" s="328"/>
      <c r="N1648" s="328"/>
      <c r="O1648" s="328"/>
      <c r="P1648" s="328"/>
      <c r="Q1648" s="328"/>
      <c r="R1648" s="328"/>
      <c r="S1648" s="328"/>
    </row>
    <row r="1649" spans="1:19" s="409" customFormat="1" x14ac:dyDescent="0.25">
      <c r="A1649" s="368" t="s">
        <v>3943</v>
      </c>
      <c r="B1649" s="327" t="s">
        <v>0</v>
      </c>
      <c r="C1649" s="327" t="s">
        <v>238</v>
      </c>
      <c r="D1649" s="581" t="s">
        <v>3978</v>
      </c>
      <c r="E1649" s="387">
        <v>352313</v>
      </c>
      <c r="F1649" s="597" t="s">
        <v>3977</v>
      </c>
      <c r="G1649" s="578">
        <v>41.58</v>
      </c>
      <c r="H1649" s="597">
        <v>3375901</v>
      </c>
      <c r="I1649" s="597"/>
      <c r="J1649" s="327" t="s">
        <v>3976</v>
      </c>
      <c r="K1649" s="328"/>
      <c r="L1649" s="328"/>
      <c r="M1649" s="328"/>
      <c r="N1649" s="328"/>
      <c r="O1649" s="328"/>
      <c r="P1649" s="328"/>
      <c r="Q1649" s="328"/>
      <c r="R1649" s="328"/>
      <c r="S1649" s="328"/>
    </row>
    <row r="1650" spans="1:19" s="409" customFormat="1" x14ac:dyDescent="0.25">
      <c r="A1650" s="368" t="s">
        <v>3943</v>
      </c>
      <c r="B1650" s="327" t="s">
        <v>0</v>
      </c>
      <c r="C1650" s="327" t="s">
        <v>238</v>
      </c>
      <c r="D1650" s="581" t="s">
        <v>3979</v>
      </c>
      <c r="E1650" s="387">
        <v>221594</v>
      </c>
      <c r="F1650" s="597" t="s">
        <v>3983</v>
      </c>
      <c r="G1650" s="578">
        <v>44.95</v>
      </c>
      <c r="H1650" s="597">
        <v>3377049</v>
      </c>
      <c r="I1650" s="597"/>
      <c r="J1650" s="327" t="s">
        <v>3981</v>
      </c>
      <c r="K1650" s="328"/>
      <c r="L1650" s="328"/>
      <c r="M1650" s="328"/>
      <c r="N1650" s="328"/>
      <c r="O1650" s="328"/>
      <c r="P1650" s="328"/>
      <c r="Q1650" s="328"/>
      <c r="R1650" s="328"/>
      <c r="S1650" s="328"/>
    </row>
    <row r="1651" spans="1:19" s="409" customFormat="1" x14ac:dyDescent="0.25">
      <c r="A1651" s="368" t="s">
        <v>3943</v>
      </c>
      <c r="B1651" s="327" t="s">
        <v>0</v>
      </c>
      <c r="C1651" s="327" t="s">
        <v>238</v>
      </c>
      <c r="D1651" s="581" t="s">
        <v>4053</v>
      </c>
      <c r="E1651" s="387">
        <v>350616</v>
      </c>
      <c r="F1651" s="597" t="s">
        <v>4061</v>
      </c>
      <c r="G1651" s="578">
        <v>96.35</v>
      </c>
      <c r="H1651" s="597">
        <v>3377761</v>
      </c>
      <c r="I1651" s="597"/>
      <c r="J1651" s="327" t="s">
        <v>4057</v>
      </c>
      <c r="K1651" s="328"/>
      <c r="L1651" s="328"/>
      <c r="M1651" s="328"/>
      <c r="N1651" s="328"/>
      <c r="O1651" s="328"/>
      <c r="P1651" s="328"/>
      <c r="Q1651" s="328"/>
      <c r="R1651" s="328"/>
      <c r="S1651" s="328"/>
    </row>
    <row r="1652" spans="1:19" s="409" customFormat="1" x14ac:dyDescent="0.25">
      <c r="A1652" s="368" t="s">
        <v>3943</v>
      </c>
      <c r="B1652" s="327" t="s">
        <v>0</v>
      </c>
      <c r="C1652" s="327" t="s">
        <v>238</v>
      </c>
      <c r="D1652" s="581" t="s">
        <v>2217</v>
      </c>
      <c r="E1652" s="387">
        <v>351753</v>
      </c>
      <c r="F1652" s="597" t="s">
        <v>4124</v>
      </c>
      <c r="G1652" s="578">
        <v>151.85</v>
      </c>
      <c r="H1652" s="597" t="s">
        <v>4167</v>
      </c>
      <c r="I1652" s="597"/>
      <c r="J1652" s="327" t="s">
        <v>4079</v>
      </c>
      <c r="K1652" s="328"/>
      <c r="L1652" s="328"/>
      <c r="M1652" s="328"/>
      <c r="N1652" s="328"/>
      <c r="O1652" s="328"/>
      <c r="P1652" s="328"/>
      <c r="Q1652" s="328"/>
      <c r="R1652" s="328"/>
      <c r="S1652" s="328"/>
    </row>
    <row r="1653" spans="1:19" s="409" customFormat="1" x14ac:dyDescent="0.25">
      <c r="A1653" s="368" t="s">
        <v>3943</v>
      </c>
      <c r="B1653" s="327" t="s">
        <v>0</v>
      </c>
      <c r="C1653" s="327" t="s">
        <v>238</v>
      </c>
      <c r="D1653" s="581" t="s">
        <v>4094</v>
      </c>
      <c r="E1653" s="387">
        <v>351713</v>
      </c>
      <c r="F1653" s="597" t="s">
        <v>4137</v>
      </c>
      <c r="G1653" s="578">
        <v>220</v>
      </c>
      <c r="H1653" s="597" t="s">
        <v>4181</v>
      </c>
      <c r="I1653" s="597"/>
      <c r="J1653" s="327" t="s">
        <v>4102</v>
      </c>
      <c r="K1653" s="328"/>
      <c r="L1653" s="328"/>
      <c r="M1653" s="328"/>
      <c r="N1653" s="328"/>
      <c r="O1653" s="328"/>
      <c r="P1653" s="328"/>
      <c r="Q1653" s="328"/>
      <c r="R1653" s="328"/>
      <c r="S1653" s="328"/>
    </row>
    <row r="1654" spans="1:19" s="409" customFormat="1" x14ac:dyDescent="0.25">
      <c r="A1654" s="368" t="s">
        <v>3943</v>
      </c>
      <c r="B1654" s="327" t="s">
        <v>0</v>
      </c>
      <c r="C1654" s="327" t="s">
        <v>238</v>
      </c>
      <c r="D1654" s="581" t="s">
        <v>3945</v>
      </c>
      <c r="E1654" s="387">
        <v>352916</v>
      </c>
      <c r="F1654" s="597" t="s">
        <v>3946</v>
      </c>
      <c r="G1654" s="578">
        <v>55.95</v>
      </c>
      <c r="H1654" s="597">
        <v>3380973</v>
      </c>
      <c r="I1654" s="597"/>
      <c r="J1654" s="327" t="s">
        <v>3944</v>
      </c>
      <c r="K1654" s="328"/>
      <c r="L1654" s="328"/>
      <c r="M1654" s="328"/>
      <c r="N1654" s="328"/>
      <c r="O1654" s="328"/>
      <c r="P1654" s="328"/>
      <c r="Q1654" s="328"/>
      <c r="R1654" s="328"/>
      <c r="S1654" s="328"/>
    </row>
    <row r="1655" spans="1:19" s="409" customFormat="1" x14ac:dyDescent="0.25">
      <c r="A1655" s="368" t="s">
        <v>3943</v>
      </c>
      <c r="B1655" s="327" t="s">
        <v>0</v>
      </c>
      <c r="C1655" s="327" t="s">
        <v>238</v>
      </c>
      <c r="D1655" s="581" t="s">
        <v>2994</v>
      </c>
      <c r="E1655" s="387">
        <v>350171</v>
      </c>
      <c r="F1655" s="597" t="s">
        <v>4129</v>
      </c>
      <c r="G1655" s="578">
        <v>165.95</v>
      </c>
      <c r="H1655" s="597" t="s">
        <v>4173</v>
      </c>
      <c r="I1655" s="597"/>
      <c r="J1655" s="327" t="s">
        <v>4087</v>
      </c>
      <c r="K1655" s="328"/>
      <c r="L1655" s="328"/>
      <c r="M1655" s="328"/>
      <c r="N1655" s="328"/>
      <c r="O1655" s="328"/>
      <c r="P1655" s="328"/>
      <c r="Q1655" s="328"/>
      <c r="R1655" s="328"/>
      <c r="S1655" s="328"/>
    </row>
    <row r="1656" spans="1:19" s="409" customFormat="1" x14ac:dyDescent="0.25">
      <c r="A1656" s="368" t="s">
        <v>3943</v>
      </c>
      <c r="B1656" s="327" t="s">
        <v>0</v>
      </c>
      <c r="C1656" s="327" t="s">
        <v>238</v>
      </c>
      <c r="D1656" s="581" t="s">
        <v>4084</v>
      </c>
      <c r="E1656" s="387">
        <v>350511</v>
      </c>
      <c r="F1656" s="597" t="s">
        <v>4120</v>
      </c>
      <c r="G1656" s="578">
        <v>139.81</v>
      </c>
      <c r="H1656" s="597" t="s">
        <v>4163</v>
      </c>
      <c r="I1656" s="597"/>
      <c r="J1656" s="327" t="s">
        <v>4075</v>
      </c>
      <c r="K1656" s="328"/>
      <c r="L1656" s="328"/>
      <c r="M1656" s="328"/>
      <c r="N1656" s="328"/>
      <c r="O1656" s="328"/>
      <c r="P1656" s="328"/>
      <c r="Q1656" s="328"/>
      <c r="R1656" s="328"/>
      <c r="S1656" s="328"/>
    </row>
    <row r="1657" spans="1:19" s="409" customFormat="1" x14ac:dyDescent="0.25">
      <c r="A1657" s="368" t="s">
        <v>3943</v>
      </c>
      <c r="B1657" s="327" t="s">
        <v>0</v>
      </c>
      <c r="C1657" s="327" t="s">
        <v>238</v>
      </c>
      <c r="D1657" s="581" t="s">
        <v>59</v>
      </c>
      <c r="E1657" s="387">
        <v>350569</v>
      </c>
      <c r="F1657" s="597" t="s">
        <v>4116</v>
      </c>
      <c r="G1657" s="578">
        <v>124.95</v>
      </c>
      <c r="H1657" s="597" t="s">
        <v>4158</v>
      </c>
      <c r="I1657" s="597"/>
      <c r="J1657" s="327" t="s">
        <v>4071</v>
      </c>
      <c r="K1657" s="328"/>
      <c r="L1657" s="328"/>
      <c r="M1657" s="328"/>
      <c r="N1657" s="328"/>
      <c r="O1657" s="328"/>
      <c r="P1657" s="328"/>
      <c r="Q1657" s="328"/>
      <c r="R1657" s="328"/>
      <c r="S1657" s="328"/>
    </row>
    <row r="1658" spans="1:19" s="409" customFormat="1" x14ac:dyDescent="0.25">
      <c r="A1658" s="368" t="s">
        <v>3943</v>
      </c>
      <c r="B1658" s="327" t="s">
        <v>0</v>
      </c>
      <c r="C1658" s="327" t="s">
        <v>238</v>
      </c>
      <c r="D1658" s="581" t="s">
        <v>4192</v>
      </c>
      <c r="E1658" s="387">
        <v>352949</v>
      </c>
      <c r="F1658" s="597"/>
      <c r="G1658" s="578">
        <v>57.5</v>
      </c>
      <c r="H1658" s="597"/>
      <c r="I1658" s="594"/>
      <c r="J1658" s="327" t="s">
        <v>3267</v>
      </c>
      <c r="K1658" s="328"/>
      <c r="L1658" s="328"/>
      <c r="M1658" s="328"/>
      <c r="N1658" s="328"/>
      <c r="O1658" s="328"/>
      <c r="P1658" s="328"/>
      <c r="Q1658" s="328"/>
      <c r="R1658" s="328"/>
      <c r="S1658" s="328"/>
    </row>
    <row r="1659" spans="1:19" s="409" customFormat="1" x14ac:dyDescent="0.25">
      <c r="A1659" s="368" t="s">
        <v>3943</v>
      </c>
      <c r="B1659" s="327" t="s">
        <v>0</v>
      </c>
      <c r="C1659" s="327" t="s">
        <v>238</v>
      </c>
      <c r="D1659" s="581" t="s">
        <v>2860</v>
      </c>
      <c r="E1659" s="387">
        <v>353601</v>
      </c>
      <c r="F1659" s="597"/>
      <c r="G1659" s="578">
        <v>38</v>
      </c>
      <c r="H1659" s="597"/>
      <c r="I1659" s="594"/>
      <c r="J1659" s="327" t="s">
        <v>3267</v>
      </c>
      <c r="K1659" s="328"/>
      <c r="L1659" s="328"/>
      <c r="M1659" s="328"/>
      <c r="N1659" s="328"/>
      <c r="O1659" s="328"/>
      <c r="P1659" s="328"/>
      <c r="Q1659" s="328"/>
      <c r="R1659" s="328"/>
      <c r="S1659" s="328"/>
    </row>
    <row r="1660" spans="1:19" s="409" customFormat="1" x14ac:dyDescent="0.25">
      <c r="A1660" s="368" t="s">
        <v>3943</v>
      </c>
      <c r="B1660" s="327" t="s">
        <v>0</v>
      </c>
      <c r="C1660" s="327" t="s">
        <v>3562</v>
      </c>
      <c r="D1660" s="581" t="s">
        <v>2120</v>
      </c>
      <c r="E1660" s="387">
        <v>202</v>
      </c>
      <c r="F1660" s="597" t="s">
        <v>4021</v>
      </c>
      <c r="G1660" s="578">
        <v>70.95</v>
      </c>
      <c r="H1660" s="597">
        <v>3384246</v>
      </c>
      <c r="I1660" s="597"/>
      <c r="J1660" s="327" t="s">
        <v>4016</v>
      </c>
      <c r="K1660" s="328"/>
      <c r="L1660" s="328"/>
      <c r="M1660" s="328"/>
      <c r="N1660" s="328"/>
      <c r="O1660" s="328"/>
      <c r="P1660" s="328"/>
      <c r="Q1660" s="328"/>
      <c r="R1660" s="328"/>
      <c r="S1660" s="328"/>
    </row>
    <row r="1661" spans="1:19" s="409" customFormat="1" x14ac:dyDescent="0.25">
      <c r="A1661" s="368" t="s">
        <v>3943</v>
      </c>
      <c r="B1661" s="327" t="s">
        <v>0</v>
      </c>
      <c r="C1661" s="327" t="s">
        <v>3562</v>
      </c>
      <c r="D1661" s="581" t="s">
        <v>2154</v>
      </c>
      <c r="E1661" s="387">
        <v>352298</v>
      </c>
      <c r="F1661" s="597" t="s">
        <v>4118</v>
      </c>
      <c r="G1661" s="578">
        <v>68.95</v>
      </c>
      <c r="H1661" s="597" t="s">
        <v>4161</v>
      </c>
      <c r="I1661" s="597"/>
      <c r="J1661" s="327" t="s">
        <v>4073</v>
      </c>
      <c r="K1661" s="328"/>
      <c r="L1661" s="328"/>
      <c r="M1661" s="328"/>
      <c r="N1661" s="328"/>
      <c r="O1661" s="328"/>
      <c r="P1661" s="328"/>
      <c r="Q1661" s="328"/>
      <c r="R1661" s="328"/>
      <c r="S1661" s="328"/>
    </row>
    <row r="1662" spans="1:19" s="409" customFormat="1" x14ac:dyDescent="0.25">
      <c r="A1662" s="368" t="s">
        <v>3943</v>
      </c>
      <c r="B1662" s="327" t="s">
        <v>0</v>
      </c>
      <c r="C1662" s="327" t="s">
        <v>238</v>
      </c>
      <c r="D1662" s="581" t="s">
        <v>4019</v>
      </c>
      <c r="E1662" s="387">
        <v>351999</v>
      </c>
      <c r="F1662" s="597" t="s">
        <v>4020</v>
      </c>
      <c r="G1662" s="578">
        <v>69.349999999999994</v>
      </c>
      <c r="H1662" s="597">
        <v>3392870</v>
      </c>
      <c r="I1662" s="597"/>
      <c r="J1662" s="327" t="s">
        <v>4014</v>
      </c>
      <c r="K1662" s="328"/>
      <c r="L1662" s="328"/>
      <c r="M1662" s="328"/>
      <c r="N1662" s="328"/>
      <c r="O1662" s="328"/>
      <c r="P1662" s="328"/>
      <c r="Q1662" s="328"/>
      <c r="R1662" s="328"/>
      <c r="S1662" s="328"/>
    </row>
    <row r="1663" spans="1:19" s="409" customFormat="1" x14ac:dyDescent="0.25">
      <c r="A1663" s="368" t="s">
        <v>3943</v>
      </c>
      <c r="B1663" s="327" t="s">
        <v>0</v>
      </c>
      <c r="C1663" s="327" t="s">
        <v>238</v>
      </c>
      <c r="D1663" s="581" t="s">
        <v>83</v>
      </c>
      <c r="E1663" s="387">
        <v>352283</v>
      </c>
      <c r="F1663" s="597" t="s">
        <v>4128</v>
      </c>
      <c r="G1663" s="578">
        <v>165.95</v>
      </c>
      <c r="H1663" s="597" t="s">
        <v>4172</v>
      </c>
      <c r="I1663" s="597"/>
      <c r="J1663" s="327" t="s">
        <v>4086</v>
      </c>
      <c r="K1663" s="328"/>
      <c r="L1663" s="328"/>
      <c r="M1663" s="328"/>
      <c r="N1663" s="328"/>
      <c r="O1663" s="328"/>
      <c r="P1663" s="328"/>
      <c r="Q1663" s="328"/>
      <c r="R1663" s="328"/>
      <c r="S1663" s="328"/>
    </row>
    <row r="1664" spans="1:19" s="409" customFormat="1" x14ac:dyDescent="0.25">
      <c r="A1664" s="368" t="s">
        <v>3943</v>
      </c>
      <c r="B1664" s="327" t="s">
        <v>0</v>
      </c>
      <c r="C1664" s="327" t="s">
        <v>238</v>
      </c>
      <c r="D1664" s="581" t="s">
        <v>2531</v>
      </c>
      <c r="E1664" s="387">
        <v>352708</v>
      </c>
      <c r="F1664" s="597" t="s">
        <v>3959</v>
      </c>
      <c r="G1664" s="578">
        <v>26.85</v>
      </c>
      <c r="H1664" s="597">
        <v>3376805</v>
      </c>
      <c r="I1664" s="597"/>
      <c r="J1664" s="327" t="s">
        <v>3957</v>
      </c>
      <c r="K1664" s="328"/>
      <c r="L1664" s="328"/>
      <c r="M1664" s="328"/>
      <c r="N1664" s="328"/>
      <c r="O1664" s="328"/>
      <c r="P1664" s="328"/>
      <c r="Q1664" s="328"/>
      <c r="R1664" s="328"/>
      <c r="S1664" s="328"/>
    </row>
    <row r="1665" spans="1:19" s="409" customFormat="1" x14ac:dyDescent="0.25">
      <c r="A1665" s="368" t="s">
        <v>3943</v>
      </c>
      <c r="B1665" s="327" t="s">
        <v>0</v>
      </c>
      <c r="C1665" s="327" t="s">
        <v>238</v>
      </c>
      <c r="D1665" s="581" t="s">
        <v>2252</v>
      </c>
      <c r="E1665" s="387">
        <v>215141</v>
      </c>
      <c r="F1665" s="597" t="s">
        <v>3982</v>
      </c>
      <c r="G1665" s="578">
        <v>42.35</v>
      </c>
      <c r="H1665" s="597">
        <v>3377195</v>
      </c>
      <c r="I1665" s="597"/>
      <c r="J1665" s="327" t="s">
        <v>3980</v>
      </c>
      <c r="K1665" s="328"/>
      <c r="L1665" s="328"/>
      <c r="M1665" s="328"/>
      <c r="N1665" s="328"/>
      <c r="O1665" s="328"/>
      <c r="P1665" s="328"/>
      <c r="Q1665" s="328"/>
      <c r="R1665" s="328"/>
      <c r="S1665" s="328"/>
    </row>
    <row r="1666" spans="1:19" s="409" customFormat="1" x14ac:dyDescent="0.25">
      <c r="A1666" s="368" t="s">
        <v>3943</v>
      </c>
      <c r="B1666" s="327" t="s">
        <v>0</v>
      </c>
      <c r="C1666" s="327" t="s">
        <v>238</v>
      </c>
      <c r="D1666" s="581" t="s">
        <v>2691</v>
      </c>
      <c r="E1666" s="387">
        <v>351836</v>
      </c>
      <c r="F1666" s="597" t="s">
        <v>3992</v>
      </c>
      <c r="G1666" s="578">
        <v>147.82</v>
      </c>
      <c r="H1666" s="597">
        <v>3380237</v>
      </c>
      <c r="I1666" s="597"/>
      <c r="J1666" s="327" t="s">
        <v>3986</v>
      </c>
      <c r="K1666" s="328"/>
      <c r="L1666" s="328"/>
      <c r="M1666" s="328"/>
      <c r="N1666" s="328"/>
      <c r="O1666" s="328"/>
      <c r="P1666" s="328"/>
      <c r="Q1666" s="328"/>
      <c r="R1666" s="328"/>
      <c r="S1666" s="328"/>
    </row>
    <row r="1667" spans="1:19" s="409" customFormat="1" x14ac:dyDescent="0.25">
      <c r="A1667" s="368" t="s">
        <v>3943</v>
      </c>
      <c r="B1667" s="327" t="s">
        <v>0</v>
      </c>
      <c r="C1667" s="327" t="s">
        <v>238</v>
      </c>
      <c r="D1667" s="581" t="s">
        <v>2270</v>
      </c>
      <c r="E1667" s="387">
        <v>352661</v>
      </c>
      <c r="F1667" s="597" t="s">
        <v>4140</v>
      </c>
      <c r="G1667" s="578">
        <v>30.65</v>
      </c>
      <c r="H1667" s="597" t="s">
        <v>4185</v>
      </c>
      <c r="I1667" s="597"/>
      <c r="J1667" s="327" t="s">
        <v>4105</v>
      </c>
      <c r="K1667" s="328"/>
      <c r="L1667" s="328"/>
      <c r="M1667" s="328"/>
      <c r="N1667" s="328"/>
      <c r="O1667" s="328"/>
      <c r="P1667" s="328"/>
      <c r="Q1667" s="328"/>
      <c r="R1667" s="328"/>
      <c r="S1667" s="328"/>
    </row>
    <row r="1668" spans="1:19" s="409" customFormat="1" x14ac:dyDescent="0.25">
      <c r="A1668" s="368" t="s">
        <v>3943</v>
      </c>
      <c r="B1668" s="327" t="s">
        <v>0</v>
      </c>
      <c r="C1668" s="327" t="s">
        <v>238</v>
      </c>
      <c r="D1668" s="581" t="s">
        <v>3270</v>
      </c>
      <c r="E1668" s="387">
        <v>351476</v>
      </c>
      <c r="F1668" s="597" t="s">
        <v>4059</v>
      </c>
      <c r="G1668" s="578">
        <v>92.95</v>
      </c>
      <c r="H1668" s="597">
        <v>3389859</v>
      </c>
      <c r="I1668" s="597"/>
      <c r="J1668" s="327" t="s">
        <v>4054</v>
      </c>
      <c r="K1668" s="328"/>
      <c r="L1668" s="328"/>
      <c r="M1668" s="328"/>
      <c r="N1668" s="328"/>
      <c r="O1668" s="328"/>
      <c r="P1668" s="328"/>
      <c r="Q1668" s="328"/>
      <c r="R1668" s="328"/>
      <c r="S1668" s="328"/>
    </row>
    <row r="1669" spans="1:19" x14ac:dyDescent="0.25">
      <c r="A1669" s="321">
        <v>42929</v>
      </c>
      <c r="B1669" s="323" t="s">
        <v>127</v>
      </c>
      <c r="D1669" s="392" t="s">
        <v>181</v>
      </c>
      <c r="E1669" s="387">
        <v>351215</v>
      </c>
      <c r="F1669" s="594"/>
      <c r="G1669" s="578">
        <f>36.8+20.2</f>
        <v>57</v>
      </c>
      <c r="H1669" s="594">
        <v>3371267</v>
      </c>
      <c r="I1669" s="328"/>
      <c r="J1669" s="323" t="s">
        <v>4194</v>
      </c>
    </row>
    <row r="1670" spans="1:19" x14ac:dyDescent="0.25">
      <c r="A1670" s="321">
        <v>42926</v>
      </c>
      <c r="B1670" s="323" t="s">
        <v>127</v>
      </c>
      <c r="D1670" s="392" t="s">
        <v>181</v>
      </c>
      <c r="E1670" s="387">
        <v>351215</v>
      </c>
      <c r="F1670" s="594"/>
      <c r="G1670" s="578">
        <v>109</v>
      </c>
      <c r="H1670" s="594">
        <v>3364900</v>
      </c>
      <c r="I1670" s="328"/>
      <c r="J1670" s="323" t="s">
        <v>2573</v>
      </c>
    </row>
    <row r="1671" spans="1:19" x14ac:dyDescent="0.25">
      <c r="A1671" s="321">
        <v>42926</v>
      </c>
      <c r="B1671" s="323" t="s">
        <v>127</v>
      </c>
      <c r="D1671" s="392" t="s">
        <v>181</v>
      </c>
      <c r="E1671" s="387">
        <v>351215</v>
      </c>
      <c r="F1671" s="594"/>
      <c r="G1671" s="578">
        <v>118</v>
      </c>
      <c r="H1671" s="594">
        <v>3364067</v>
      </c>
      <c r="I1671" s="328"/>
      <c r="J1671" s="323" t="s">
        <v>2573</v>
      </c>
    </row>
    <row r="1672" spans="1:19" x14ac:dyDescent="0.25">
      <c r="A1672" s="321">
        <v>42926</v>
      </c>
      <c r="B1672" s="323" t="s">
        <v>127</v>
      </c>
      <c r="D1672" s="392" t="s">
        <v>181</v>
      </c>
      <c r="E1672" s="387">
        <v>351215</v>
      </c>
      <c r="F1672" s="594"/>
      <c r="G1672" s="578">
        <v>71.010000000000005</v>
      </c>
      <c r="H1672" s="594">
        <v>3367605</v>
      </c>
      <c r="I1672" s="328"/>
      <c r="J1672" s="323" t="s">
        <v>2573</v>
      </c>
    </row>
    <row r="1673" spans="1:19" x14ac:dyDescent="0.25">
      <c r="A1673" s="321">
        <v>42926</v>
      </c>
      <c r="B1673" s="323" t="s">
        <v>127</v>
      </c>
      <c r="D1673" s="392" t="s">
        <v>181</v>
      </c>
      <c r="E1673" s="387">
        <v>351215</v>
      </c>
      <c r="F1673" s="594"/>
      <c r="G1673" s="578">
        <v>385.5</v>
      </c>
      <c r="H1673" s="594">
        <v>3360884</v>
      </c>
      <c r="I1673" s="328"/>
      <c r="J1673" s="323" t="s">
        <v>2573</v>
      </c>
    </row>
    <row r="1674" spans="1:19" x14ac:dyDescent="0.25">
      <c r="A1674" s="321">
        <v>42926</v>
      </c>
      <c r="B1674" s="323" t="s">
        <v>127</v>
      </c>
      <c r="D1674" s="392" t="s">
        <v>181</v>
      </c>
      <c r="E1674" s="387">
        <v>351215</v>
      </c>
      <c r="F1674" s="594"/>
      <c r="G1674" s="578">
        <v>116</v>
      </c>
      <c r="H1674" s="594">
        <v>3360776</v>
      </c>
      <c r="I1674" s="328"/>
      <c r="J1674" s="323" t="s">
        <v>2573</v>
      </c>
    </row>
    <row r="1675" spans="1:19" x14ac:dyDescent="0.25">
      <c r="A1675" s="321">
        <v>42930</v>
      </c>
      <c r="B1675" s="323" t="s">
        <v>127</v>
      </c>
      <c r="D1675" s="392" t="s">
        <v>3493</v>
      </c>
      <c r="E1675" s="387">
        <v>350425</v>
      </c>
      <c r="F1675" s="594"/>
      <c r="G1675" s="578">
        <v>89.95</v>
      </c>
      <c r="H1675" s="594">
        <v>3393817</v>
      </c>
      <c r="I1675" s="328"/>
      <c r="J1675" s="323" t="s">
        <v>4195</v>
      </c>
    </row>
    <row r="1676" spans="1:19" x14ac:dyDescent="0.25">
      <c r="A1676" s="321" t="s">
        <v>4199</v>
      </c>
      <c r="B1676" s="323" t="s">
        <v>0</v>
      </c>
      <c r="C1676" s="327" t="s">
        <v>238</v>
      </c>
      <c r="D1676" s="392" t="s">
        <v>4200</v>
      </c>
      <c r="E1676" s="387">
        <v>350939</v>
      </c>
      <c r="F1676" s="594" t="s">
        <v>4201</v>
      </c>
      <c r="G1676" s="578">
        <v>254.95</v>
      </c>
      <c r="H1676" s="594">
        <v>3380604</v>
      </c>
      <c r="I1676" s="597"/>
      <c r="J1676" s="323" t="s">
        <v>4198</v>
      </c>
    </row>
    <row r="1677" spans="1:19" x14ac:dyDescent="0.25">
      <c r="A1677" s="321" t="s">
        <v>4199</v>
      </c>
      <c r="B1677" s="323" t="s">
        <v>0</v>
      </c>
      <c r="C1677" s="327" t="s">
        <v>238</v>
      </c>
      <c r="D1677" s="392" t="s">
        <v>181</v>
      </c>
      <c r="E1677" s="387">
        <v>351215</v>
      </c>
      <c r="F1677" s="594" t="s">
        <v>4255</v>
      </c>
      <c r="G1677" s="578">
        <v>248.82</v>
      </c>
      <c r="H1677" s="594">
        <v>3383851</v>
      </c>
      <c r="I1677" s="597"/>
      <c r="J1677" s="323" t="s">
        <v>4252</v>
      </c>
    </row>
    <row r="1678" spans="1:19" x14ac:dyDescent="0.25">
      <c r="A1678" s="321" t="s">
        <v>4199</v>
      </c>
      <c r="B1678" s="323" t="s">
        <v>0</v>
      </c>
      <c r="C1678" s="327" t="s">
        <v>238</v>
      </c>
      <c r="D1678" s="392" t="s">
        <v>181</v>
      </c>
      <c r="E1678" s="387">
        <v>351215</v>
      </c>
      <c r="F1678" s="594" t="s">
        <v>4253</v>
      </c>
      <c r="G1678" s="578">
        <v>115.43</v>
      </c>
      <c r="H1678" s="594">
        <v>3388057</v>
      </c>
      <c r="I1678" s="597"/>
      <c r="J1678" s="323" t="s">
        <v>4252</v>
      </c>
    </row>
    <row r="1679" spans="1:19" x14ac:dyDescent="0.25">
      <c r="A1679" s="321" t="s">
        <v>4199</v>
      </c>
      <c r="B1679" s="323" t="s">
        <v>0</v>
      </c>
      <c r="C1679" s="327" t="s">
        <v>238</v>
      </c>
      <c r="D1679" s="392" t="s">
        <v>3073</v>
      </c>
      <c r="E1679" s="387">
        <v>351452</v>
      </c>
      <c r="F1679" s="594" t="s">
        <v>4244</v>
      </c>
      <c r="G1679" s="578">
        <v>151.54</v>
      </c>
      <c r="H1679" s="594">
        <v>3390421</v>
      </c>
      <c r="I1679" s="597"/>
      <c r="J1679" s="323" t="s">
        <v>4243</v>
      </c>
    </row>
    <row r="1680" spans="1:19" x14ac:dyDescent="0.25">
      <c r="A1680" s="321" t="s">
        <v>4199</v>
      </c>
      <c r="B1680" s="323" t="s">
        <v>0</v>
      </c>
      <c r="C1680" s="327" t="s">
        <v>238</v>
      </c>
      <c r="D1680" s="392" t="s">
        <v>2079</v>
      </c>
      <c r="E1680" s="387">
        <v>215037</v>
      </c>
      <c r="F1680" s="594" t="s">
        <v>4224</v>
      </c>
      <c r="G1680" s="578">
        <v>71.180000000000007</v>
      </c>
      <c r="H1680" s="594">
        <v>3390724</v>
      </c>
      <c r="I1680" s="597"/>
      <c r="J1680" s="323" t="s">
        <v>4222</v>
      </c>
    </row>
    <row r="1681" spans="1:10" x14ac:dyDescent="0.25">
      <c r="A1681" s="321" t="s">
        <v>4199</v>
      </c>
      <c r="B1681" s="323" t="s">
        <v>0</v>
      </c>
      <c r="C1681" s="327" t="s">
        <v>238</v>
      </c>
      <c r="D1681" s="392" t="s">
        <v>1559</v>
      </c>
      <c r="E1681" s="387">
        <v>351890</v>
      </c>
      <c r="F1681" s="594" t="s">
        <v>4239</v>
      </c>
      <c r="G1681" s="578">
        <v>106.95</v>
      </c>
      <c r="H1681" s="594">
        <v>3392072</v>
      </c>
      <c r="I1681" s="597"/>
      <c r="J1681" s="323" t="s">
        <v>4234</v>
      </c>
    </row>
    <row r="1682" spans="1:10" x14ac:dyDescent="0.25">
      <c r="A1682" s="321" t="s">
        <v>4199</v>
      </c>
      <c r="B1682" s="323" t="s">
        <v>0</v>
      </c>
      <c r="C1682" s="327" t="s">
        <v>238</v>
      </c>
      <c r="D1682" s="392" t="s">
        <v>4213</v>
      </c>
      <c r="E1682" s="387">
        <v>351963</v>
      </c>
      <c r="F1682" s="594" t="s">
        <v>4221</v>
      </c>
      <c r="G1682" s="578">
        <v>59.9</v>
      </c>
      <c r="H1682" s="594">
        <v>3394146</v>
      </c>
      <c r="I1682" s="597"/>
      <c r="J1682" s="323" t="s">
        <v>4217</v>
      </c>
    </row>
    <row r="1683" spans="1:10" x14ac:dyDescent="0.25">
      <c r="A1683" s="321" t="s">
        <v>4199</v>
      </c>
      <c r="B1683" s="323" t="s">
        <v>0</v>
      </c>
      <c r="C1683" s="327" t="s">
        <v>238</v>
      </c>
      <c r="D1683" s="392" t="s">
        <v>4204</v>
      </c>
      <c r="E1683" s="387">
        <v>352757</v>
      </c>
      <c r="F1683" s="594" t="s">
        <v>4206</v>
      </c>
      <c r="G1683" s="578">
        <v>30.95</v>
      </c>
      <c r="H1683" s="594">
        <v>3395846</v>
      </c>
      <c r="I1683" s="597"/>
      <c r="J1683" s="323" t="s">
        <v>4203</v>
      </c>
    </row>
    <row r="1684" spans="1:10" x14ac:dyDescent="0.25">
      <c r="A1684" s="321" t="s">
        <v>4199</v>
      </c>
      <c r="B1684" s="323" t="s">
        <v>0</v>
      </c>
      <c r="C1684" s="327" t="s">
        <v>238</v>
      </c>
      <c r="D1684" s="392" t="s">
        <v>3382</v>
      </c>
      <c r="E1684" s="387">
        <v>352540</v>
      </c>
      <c r="F1684" s="594" t="s">
        <v>4220</v>
      </c>
      <c r="G1684" s="578">
        <v>58.25</v>
      </c>
      <c r="H1684" s="594">
        <v>3399076</v>
      </c>
      <c r="I1684" s="597"/>
      <c r="J1684" s="323" t="s">
        <v>4216</v>
      </c>
    </row>
    <row r="1685" spans="1:10" x14ac:dyDescent="0.25">
      <c r="A1685" s="321" t="s">
        <v>4199</v>
      </c>
      <c r="B1685" s="323" t="s">
        <v>0</v>
      </c>
      <c r="C1685" s="327" t="s">
        <v>238</v>
      </c>
      <c r="D1685" s="392" t="s">
        <v>94</v>
      </c>
      <c r="E1685" s="387">
        <v>350522</v>
      </c>
      <c r="F1685" s="594" t="s">
        <v>4251</v>
      </c>
      <c r="G1685" s="578">
        <v>182.5</v>
      </c>
      <c r="H1685" s="594">
        <v>3400985</v>
      </c>
      <c r="I1685" s="597"/>
      <c r="J1685" s="323" t="s">
        <v>4247</v>
      </c>
    </row>
    <row r="1686" spans="1:10" x14ac:dyDescent="0.25">
      <c r="A1686" s="321" t="s">
        <v>4199</v>
      </c>
      <c r="B1686" s="323" t="s">
        <v>0</v>
      </c>
      <c r="C1686" s="327" t="s">
        <v>238</v>
      </c>
      <c r="D1686" s="392" t="s">
        <v>4207</v>
      </c>
      <c r="E1686" s="387">
        <v>351636</v>
      </c>
      <c r="F1686" s="594" t="s">
        <v>4211</v>
      </c>
      <c r="G1686" s="578">
        <v>46.15</v>
      </c>
      <c r="H1686" s="594">
        <v>3414366</v>
      </c>
      <c r="I1686" s="597"/>
      <c r="J1686" s="323" t="s">
        <v>4209</v>
      </c>
    </row>
    <row r="1687" spans="1:10" x14ac:dyDescent="0.25">
      <c r="A1687" s="321" t="s">
        <v>4199</v>
      </c>
      <c r="B1687" s="323" t="s">
        <v>0</v>
      </c>
      <c r="C1687" s="327" t="s">
        <v>238</v>
      </c>
      <c r="D1687" s="392" t="s">
        <v>2479</v>
      </c>
      <c r="E1687" s="387">
        <v>352050</v>
      </c>
      <c r="F1687" s="594" t="s">
        <v>4225</v>
      </c>
      <c r="G1687" s="578">
        <v>71.89</v>
      </c>
      <c r="H1687" s="594">
        <v>3416320</v>
      </c>
      <c r="I1687" s="597"/>
      <c r="J1687" s="323" t="s">
        <v>4223</v>
      </c>
    </row>
    <row r="1688" spans="1:10" x14ac:dyDescent="0.25">
      <c r="A1688" s="321" t="s">
        <v>4199</v>
      </c>
      <c r="B1688" s="323" t="s">
        <v>0</v>
      </c>
      <c r="C1688" s="327" t="s">
        <v>238</v>
      </c>
      <c r="D1688" s="392" t="s">
        <v>4212</v>
      </c>
      <c r="E1688" s="387">
        <v>352739</v>
      </c>
      <c r="F1688" s="594" t="s">
        <v>4219</v>
      </c>
      <c r="G1688" s="578">
        <v>56.66</v>
      </c>
      <c r="H1688" s="594">
        <v>3417390</v>
      </c>
      <c r="I1688" s="597"/>
      <c r="J1688" s="323" t="s">
        <v>4215</v>
      </c>
    </row>
    <row r="1689" spans="1:10" x14ac:dyDescent="0.25">
      <c r="A1689" s="321" t="s">
        <v>4199</v>
      </c>
      <c r="B1689" s="323" t="s">
        <v>0</v>
      </c>
      <c r="C1689" s="327" t="s">
        <v>238</v>
      </c>
      <c r="D1689" s="392" t="s">
        <v>1969</v>
      </c>
      <c r="E1689" s="387">
        <v>201229</v>
      </c>
      <c r="F1689" s="594" t="s">
        <v>4205</v>
      </c>
      <c r="G1689" s="578">
        <v>30.65</v>
      </c>
      <c r="H1689" s="594">
        <v>3419598</v>
      </c>
      <c r="I1689" s="597"/>
      <c r="J1689" s="323" t="s">
        <v>4202</v>
      </c>
    </row>
    <row r="1690" spans="1:10" x14ac:dyDescent="0.25">
      <c r="A1690" s="321" t="s">
        <v>4199</v>
      </c>
      <c r="B1690" s="323" t="s">
        <v>0</v>
      </c>
      <c r="C1690" s="323" t="s">
        <v>238</v>
      </c>
      <c r="D1690" s="392" t="s">
        <v>3491</v>
      </c>
      <c r="E1690" s="387">
        <v>351510</v>
      </c>
      <c r="F1690" s="594" t="s">
        <v>4218</v>
      </c>
      <c r="G1690" s="578">
        <v>55.02</v>
      </c>
      <c r="H1690" s="594">
        <v>3393928</v>
      </c>
      <c r="I1690" s="597"/>
      <c r="J1690" s="323" t="s">
        <v>4214</v>
      </c>
    </row>
    <row r="1691" spans="1:10" x14ac:dyDescent="0.25">
      <c r="A1691" s="321" t="s">
        <v>4199</v>
      </c>
      <c r="B1691" s="323" t="s">
        <v>0</v>
      </c>
      <c r="C1691" s="323" t="s">
        <v>238</v>
      </c>
      <c r="D1691" s="392" t="s">
        <v>1989</v>
      </c>
      <c r="E1691" s="392">
        <v>353346</v>
      </c>
      <c r="F1691" s="594" t="s">
        <v>4230</v>
      </c>
      <c r="G1691" s="578">
        <v>92.93</v>
      </c>
      <c r="H1691" s="594">
        <v>3394177</v>
      </c>
      <c r="I1691" s="597"/>
      <c r="J1691" s="323" t="s">
        <v>4229</v>
      </c>
    </row>
    <row r="1692" spans="1:10" x14ac:dyDescent="0.25">
      <c r="A1692" s="321" t="s">
        <v>4199</v>
      </c>
      <c r="B1692" s="323" t="s">
        <v>0</v>
      </c>
      <c r="C1692" s="323" t="s">
        <v>238</v>
      </c>
      <c r="D1692" s="392" t="s">
        <v>1710</v>
      </c>
      <c r="E1692" s="387">
        <v>351488</v>
      </c>
      <c r="F1692" s="594" t="s">
        <v>4242</v>
      </c>
      <c r="G1692" s="578">
        <f>51.32</f>
        <v>51.32</v>
      </c>
      <c r="H1692" s="594">
        <v>3395100</v>
      </c>
      <c r="I1692" s="597"/>
      <c r="J1692" s="323" t="s">
        <v>4233</v>
      </c>
    </row>
    <row r="1693" spans="1:10" x14ac:dyDescent="0.25">
      <c r="A1693" s="321" t="s">
        <v>4199</v>
      </c>
      <c r="B1693" s="323" t="s">
        <v>0</v>
      </c>
      <c r="C1693" s="323" t="s">
        <v>238</v>
      </c>
      <c r="D1693" s="392" t="s">
        <v>1673</v>
      </c>
      <c r="E1693" s="387">
        <v>351960</v>
      </c>
      <c r="F1693" s="594" t="s">
        <v>4237</v>
      </c>
      <c r="G1693" s="578">
        <v>104.33</v>
      </c>
      <c r="H1693" s="594">
        <v>3395425</v>
      </c>
      <c r="I1693" s="597"/>
      <c r="J1693" s="323" t="s">
        <v>4231</v>
      </c>
    </row>
    <row r="1694" spans="1:10" x14ac:dyDescent="0.25">
      <c r="A1694" s="321" t="s">
        <v>4199</v>
      </c>
      <c r="B1694" s="323" t="s">
        <v>0</v>
      </c>
      <c r="C1694" s="323" t="s">
        <v>238</v>
      </c>
      <c r="D1694" s="392" t="s">
        <v>4227</v>
      </c>
      <c r="E1694" s="387">
        <v>350561</v>
      </c>
      <c r="F1694" s="594" t="s">
        <v>4228</v>
      </c>
      <c r="G1694" s="578">
        <v>82.14</v>
      </c>
      <c r="H1694" s="594">
        <v>3395456</v>
      </c>
      <c r="I1694" s="597"/>
      <c r="J1694" s="323" t="s">
        <v>4226</v>
      </c>
    </row>
    <row r="1695" spans="1:10" x14ac:dyDescent="0.25">
      <c r="A1695" s="321" t="s">
        <v>4199</v>
      </c>
      <c r="B1695" s="323" t="s">
        <v>0</v>
      </c>
      <c r="C1695" s="323" t="s">
        <v>238</v>
      </c>
      <c r="D1695" s="392" t="s">
        <v>1919</v>
      </c>
      <c r="E1695" s="387">
        <v>201531</v>
      </c>
      <c r="F1695" s="594" t="s">
        <v>4210</v>
      </c>
      <c r="G1695" s="578">
        <v>45.9</v>
      </c>
      <c r="H1695" s="594">
        <v>3395587</v>
      </c>
      <c r="I1695" s="597"/>
      <c r="J1695" s="323" t="s">
        <v>4208</v>
      </c>
    </row>
    <row r="1696" spans="1:10" x14ac:dyDescent="0.25">
      <c r="A1696" s="321" t="s">
        <v>4199</v>
      </c>
      <c r="B1696" s="323" t="s">
        <v>0</v>
      </c>
      <c r="C1696" s="323" t="s">
        <v>238</v>
      </c>
      <c r="D1696" s="392" t="s">
        <v>181</v>
      </c>
      <c r="E1696" s="387">
        <v>351215</v>
      </c>
      <c r="F1696" s="594" t="s">
        <v>4254</v>
      </c>
      <c r="G1696" s="578">
        <v>118.58</v>
      </c>
      <c r="H1696" s="594">
        <v>3396418</v>
      </c>
      <c r="I1696" s="597"/>
      <c r="J1696" s="323" t="s">
        <v>4252</v>
      </c>
    </row>
    <row r="1697" spans="1:10" x14ac:dyDescent="0.25">
      <c r="A1697" s="321" t="s">
        <v>4199</v>
      </c>
      <c r="B1697" s="323" t="s">
        <v>0</v>
      </c>
      <c r="C1697" s="323" t="s">
        <v>238</v>
      </c>
      <c r="D1697" s="392" t="s">
        <v>4248</v>
      </c>
      <c r="E1697" s="387">
        <v>353716</v>
      </c>
      <c r="F1697" s="594" t="s">
        <v>4249</v>
      </c>
      <c r="G1697" s="578">
        <v>161.38</v>
      </c>
      <c r="H1697" s="594">
        <v>3410422</v>
      </c>
      <c r="I1697" s="597"/>
      <c r="J1697" s="323" t="s">
        <v>4245</v>
      </c>
    </row>
    <row r="1698" spans="1:10" x14ac:dyDescent="0.25">
      <c r="A1698" s="321" t="s">
        <v>4199</v>
      </c>
      <c r="B1698" s="323" t="s">
        <v>0</v>
      </c>
      <c r="C1698" s="323" t="s">
        <v>238</v>
      </c>
      <c r="D1698" s="392" t="s">
        <v>1710</v>
      </c>
      <c r="E1698" s="387">
        <v>351488</v>
      </c>
      <c r="F1698" s="594" t="s">
        <v>4238</v>
      </c>
      <c r="G1698" s="578">
        <f>54.55</f>
        <v>54.55</v>
      </c>
      <c r="H1698" s="594">
        <v>3395865</v>
      </c>
      <c r="I1698" s="597"/>
      <c r="J1698" s="323" t="s">
        <v>4233</v>
      </c>
    </row>
    <row r="1699" spans="1:10" x14ac:dyDescent="0.25">
      <c r="A1699" s="321" t="s">
        <v>4199</v>
      </c>
      <c r="B1699" s="323" t="s">
        <v>0</v>
      </c>
      <c r="C1699" s="323" t="s">
        <v>238</v>
      </c>
      <c r="D1699" s="392" t="s">
        <v>272</v>
      </c>
      <c r="E1699" s="387">
        <v>351187</v>
      </c>
      <c r="F1699" s="594" t="s">
        <v>4241</v>
      </c>
      <c r="G1699" s="578">
        <v>104.5</v>
      </c>
      <c r="H1699" s="594">
        <v>3397131</v>
      </c>
      <c r="I1699" s="597"/>
      <c r="J1699" s="323" t="s">
        <v>4232</v>
      </c>
    </row>
    <row r="1700" spans="1:10" x14ac:dyDescent="0.25">
      <c r="A1700" s="321" t="s">
        <v>4199</v>
      </c>
      <c r="B1700" s="323" t="s">
        <v>0</v>
      </c>
      <c r="C1700" s="323" t="s">
        <v>2689</v>
      </c>
      <c r="D1700" s="392" t="s">
        <v>4236</v>
      </c>
      <c r="E1700" s="387">
        <v>352709</v>
      </c>
      <c r="F1700" s="594" t="s">
        <v>4240</v>
      </c>
      <c r="G1700" s="578">
        <v>101.61</v>
      </c>
      <c r="H1700" s="594">
        <v>3405861</v>
      </c>
      <c r="I1700" s="597"/>
      <c r="J1700" s="323" t="s">
        <v>4235</v>
      </c>
    </row>
    <row r="1701" spans="1:10" x14ac:dyDescent="0.25">
      <c r="A1701" s="321" t="s">
        <v>4199</v>
      </c>
      <c r="B1701" s="323" t="s">
        <v>0</v>
      </c>
      <c r="C1701" s="323" t="s">
        <v>238</v>
      </c>
      <c r="D1701" s="392" t="s">
        <v>3040</v>
      </c>
      <c r="E1701" s="387">
        <v>213291</v>
      </c>
      <c r="F1701" s="594" t="s">
        <v>4250</v>
      </c>
      <c r="G1701" s="578">
        <v>141.15</v>
      </c>
      <c r="H1701" s="594">
        <v>3416762</v>
      </c>
      <c r="I1701" s="597"/>
      <c r="J1701" s="323" t="s">
        <v>4246</v>
      </c>
    </row>
    <row r="1702" spans="1:10" x14ac:dyDescent="0.25">
      <c r="A1702" s="321">
        <v>42933</v>
      </c>
      <c r="B1702" s="323" t="s">
        <v>127</v>
      </c>
      <c r="C1702" s="327"/>
      <c r="D1702" s="392" t="s">
        <v>3493</v>
      </c>
      <c r="E1702" s="387">
        <v>350425</v>
      </c>
      <c r="F1702" s="594"/>
      <c r="G1702" s="578">
        <f>22.78+76.2</f>
        <v>98.98</v>
      </c>
      <c r="H1702" s="594">
        <v>3393864</v>
      </c>
      <c r="I1702" s="11"/>
      <c r="J1702" s="323" t="s">
        <v>4256</v>
      </c>
    </row>
    <row r="1703" spans="1:10" x14ac:dyDescent="0.25">
      <c r="A1703" s="321">
        <v>42934</v>
      </c>
      <c r="B1703" s="323" t="s">
        <v>127</v>
      </c>
      <c r="D1703" s="392" t="s">
        <v>3493</v>
      </c>
      <c r="E1703" s="387">
        <v>350425</v>
      </c>
      <c r="F1703" s="594"/>
      <c r="G1703" s="578">
        <f>2.72+31.24</f>
        <v>33.96</v>
      </c>
      <c r="H1703" s="594">
        <v>3334778</v>
      </c>
      <c r="J1703" s="323" t="s">
        <v>4256</v>
      </c>
    </row>
    <row r="1704" spans="1:10" x14ac:dyDescent="0.25">
      <c r="A1704" s="321">
        <v>42935</v>
      </c>
      <c r="B1704" s="323" t="s">
        <v>127</v>
      </c>
      <c r="D1704" s="392" t="s">
        <v>3493</v>
      </c>
      <c r="E1704" s="387">
        <v>350425</v>
      </c>
      <c r="F1704" s="594"/>
      <c r="G1704" s="578">
        <f>2.72+31.24</f>
        <v>33.96</v>
      </c>
      <c r="H1704" s="594">
        <v>3390776</v>
      </c>
      <c r="J1704" s="323" t="s">
        <v>4256</v>
      </c>
    </row>
    <row r="1705" spans="1:10" x14ac:dyDescent="0.25">
      <c r="A1705" s="321">
        <v>42936</v>
      </c>
      <c r="B1705" s="323" t="s">
        <v>127</v>
      </c>
      <c r="D1705" s="392" t="s">
        <v>4257</v>
      </c>
      <c r="E1705" s="387">
        <v>226546</v>
      </c>
      <c r="F1705" s="594"/>
      <c r="G1705" s="578">
        <f>6.29+34.69</f>
        <v>40.98</v>
      </c>
      <c r="H1705" s="594">
        <v>3376688</v>
      </c>
      <c r="J1705" s="323" t="s">
        <v>179</v>
      </c>
    </row>
    <row r="1706" spans="1:10" x14ac:dyDescent="0.25">
      <c r="A1706" s="321">
        <v>42936</v>
      </c>
      <c r="B1706" s="323" t="s">
        <v>127</v>
      </c>
      <c r="D1706" s="392" t="s">
        <v>4257</v>
      </c>
      <c r="E1706" s="387">
        <v>226546</v>
      </c>
      <c r="F1706" s="594"/>
      <c r="G1706" s="578">
        <f>6.29+34.69</f>
        <v>40.98</v>
      </c>
      <c r="H1706" s="594">
        <v>3404692</v>
      </c>
      <c r="J1706" s="323" t="s">
        <v>179</v>
      </c>
    </row>
    <row r="1707" spans="1:10" x14ac:dyDescent="0.25">
      <c r="A1707" s="321">
        <v>42936</v>
      </c>
      <c r="B1707" s="323" t="s">
        <v>127</v>
      </c>
      <c r="D1707" s="392" t="s">
        <v>4258</v>
      </c>
      <c r="E1707" s="387">
        <v>350100</v>
      </c>
      <c r="F1707" s="594"/>
      <c r="G1707" s="578">
        <v>69.2</v>
      </c>
      <c r="H1707" s="594">
        <v>3322175</v>
      </c>
      <c r="J1707" s="323" t="s">
        <v>179</v>
      </c>
    </row>
    <row r="1708" spans="1:10" x14ac:dyDescent="0.25">
      <c r="A1708" s="321">
        <v>42934</v>
      </c>
      <c r="B1708" s="323" t="s">
        <v>127</v>
      </c>
      <c r="D1708" s="392" t="s">
        <v>2950</v>
      </c>
      <c r="E1708" s="387">
        <v>213393</v>
      </c>
      <c r="F1708" s="594"/>
      <c r="G1708" s="578">
        <v>67.11</v>
      </c>
      <c r="H1708" s="594">
        <v>3406250</v>
      </c>
      <c r="J1708" s="323" t="s">
        <v>179</v>
      </c>
    </row>
    <row r="1709" spans="1:10" x14ac:dyDescent="0.25">
      <c r="A1709" s="321">
        <v>42933</v>
      </c>
      <c r="B1709" s="323" t="s">
        <v>127</v>
      </c>
      <c r="D1709" s="392" t="s">
        <v>2130</v>
      </c>
      <c r="E1709" s="387">
        <v>214122</v>
      </c>
      <c r="F1709" s="594"/>
      <c r="G1709" s="578">
        <v>54.95</v>
      </c>
      <c r="H1709" s="594">
        <v>3398249</v>
      </c>
      <c r="J1709" s="323" t="s">
        <v>179</v>
      </c>
    </row>
    <row r="1710" spans="1:10" x14ac:dyDescent="0.25">
      <c r="A1710" s="321" t="s">
        <v>4264</v>
      </c>
      <c r="B1710" s="323" t="s">
        <v>0</v>
      </c>
      <c r="C1710" s="323" t="s">
        <v>4268</v>
      </c>
      <c r="D1710" s="392" t="s">
        <v>2120</v>
      </c>
      <c r="E1710" s="387">
        <v>202</v>
      </c>
      <c r="F1710" s="594" t="s">
        <v>4021</v>
      </c>
      <c r="G1710" s="578">
        <v>-70.95</v>
      </c>
      <c r="H1710" s="594">
        <v>3384246</v>
      </c>
      <c r="I1710" s="328"/>
      <c r="J1710" s="323" t="s">
        <v>4265</v>
      </c>
    </row>
    <row r="1711" spans="1:10" x14ac:dyDescent="0.25">
      <c r="A1711" s="321" t="s">
        <v>4264</v>
      </c>
      <c r="B1711" s="323" t="s">
        <v>0</v>
      </c>
      <c r="C1711" s="323" t="s">
        <v>4268</v>
      </c>
      <c r="D1711" s="392" t="s">
        <v>3359</v>
      </c>
      <c r="E1711" s="387">
        <v>351525</v>
      </c>
      <c r="F1711" s="594" t="s">
        <v>3522</v>
      </c>
      <c r="G1711" s="578">
        <v>-182.65</v>
      </c>
      <c r="H1711" s="594">
        <v>3290668</v>
      </c>
      <c r="I1711" s="328"/>
      <c r="J1711" s="323" t="s">
        <v>4266</v>
      </c>
    </row>
    <row r="1712" spans="1:10" x14ac:dyDescent="0.25">
      <c r="A1712" s="321" t="s">
        <v>4264</v>
      </c>
      <c r="B1712" s="323" t="s">
        <v>0</v>
      </c>
      <c r="C1712" s="323" t="s">
        <v>4268</v>
      </c>
      <c r="D1712" s="392" t="s">
        <v>2154</v>
      </c>
      <c r="E1712" s="387">
        <v>352298</v>
      </c>
      <c r="F1712" s="594" t="s">
        <v>4118</v>
      </c>
      <c r="G1712" s="578">
        <v>-68.95</v>
      </c>
      <c r="H1712" s="594">
        <v>3395003</v>
      </c>
      <c r="I1712" s="328"/>
      <c r="J1712" s="323" t="s">
        <v>4267</v>
      </c>
    </row>
    <row r="1713" spans="1:10" x14ac:dyDescent="0.25">
      <c r="A1713" s="321" t="s">
        <v>4264</v>
      </c>
      <c r="B1713" s="323" t="s">
        <v>0</v>
      </c>
      <c r="C1713" s="323" t="s">
        <v>238</v>
      </c>
      <c r="D1713" s="392" t="s">
        <v>181</v>
      </c>
      <c r="E1713" s="387">
        <v>351215</v>
      </c>
      <c r="F1713" s="594" t="s">
        <v>4314</v>
      </c>
      <c r="G1713" s="578">
        <v>58.5</v>
      </c>
      <c r="H1713" s="594">
        <v>3423399</v>
      </c>
      <c r="I1713" s="328"/>
      <c r="J1713" s="323" t="s">
        <v>4311</v>
      </c>
    </row>
    <row r="1714" spans="1:10" x14ac:dyDescent="0.25">
      <c r="A1714" s="321" t="s">
        <v>4264</v>
      </c>
      <c r="B1714" s="323" t="s">
        <v>0</v>
      </c>
      <c r="C1714" s="323" t="s">
        <v>238</v>
      </c>
      <c r="D1714" s="392" t="s">
        <v>4271</v>
      </c>
      <c r="E1714" s="387">
        <v>218480</v>
      </c>
      <c r="F1714" s="594" t="s">
        <v>4273</v>
      </c>
      <c r="G1714" s="578">
        <v>18.95</v>
      </c>
      <c r="H1714" s="594">
        <v>3426212</v>
      </c>
      <c r="I1714" s="328"/>
      <c r="J1714" s="323" t="s">
        <v>4270</v>
      </c>
    </row>
    <row r="1715" spans="1:10" x14ac:dyDescent="0.25">
      <c r="A1715" s="321" t="s">
        <v>4264</v>
      </c>
      <c r="B1715" s="323" t="s">
        <v>0</v>
      </c>
      <c r="C1715" s="323" t="s">
        <v>238</v>
      </c>
      <c r="D1715" s="392" t="s">
        <v>1263</v>
      </c>
      <c r="E1715" s="387">
        <v>350372</v>
      </c>
      <c r="F1715" s="594" t="s">
        <v>4295</v>
      </c>
      <c r="G1715" s="578">
        <v>38.11</v>
      </c>
      <c r="H1715" s="594">
        <v>3430748</v>
      </c>
      <c r="I1715" s="328"/>
      <c r="J1715" s="323" t="s">
        <v>4291</v>
      </c>
    </row>
    <row r="1716" spans="1:10" x14ac:dyDescent="0.25">
      <c r="A1716" s="321" t="s">
        <v>4264</v>
      </c>
      <c r="B1716" s="323" t="s">
        <v>0</v>
      </c>
      <c r="C1716" s="323" t="s">
        <v>238</v>
      </c>
      <c r="D1716" s="392" t="s">
        <v>181</v>
      </c>
      <c r="E1716" s="387">
        <v>351215</v>
      </c>
      <c r="F1716" s="594" t="s">
        <v>4313</v>
      </c>
      <c r="G1716" s="578">
        <v>124</v>
      </c>
      <c r="H1716" s="594">
        <v>3431780</v>
      </c>
      <c r="I1716" s="328"/>
      <c r="J1716" s="323" t="s">
        <v>4311</v>
      </c>
    </row>
    <row r="1717" spans="1:10" x14ac:dyDescent="0.25">
      <c r="A1717" s="321" t="s">
        <v>4264</v>
      </c>
      <c r="B1717" s="323" t="s">
        <v>0</v>
      </c>
      <c r="C1717" s="323" t="s">
        <v>238</v>
      </c>
      <c r="D1717" s="392" t="s">
        <v>2096</v>
      </c>
      <c r="E1717" s="387">
        <v>352367</v>
      </c>
      <c r="F1717" s="594" t="s">
        <v>4309</v>
      </c>
      <c r="G1717" s="578">
        <v>122.45</v>
      </c>
      <c r="H1717" s="594">
        <v>3438103</v>
      </c>
      <c r="I1717" s="328"/>
      <c r="J1717" s="323" t="s">
        <v>4308</v>
      </c>
    </row>
    <row r="1718" spans="1:10" x14ac:dyDescent="0.25">
      <c r="A1718" s="321" t="s">
        <v>4264</v>
      </c>
      <c r="B1718" s="323" t="s">
        <v>0</v>
      </c>
      <c r="C1718" s="323" t="s">
        <v>238</v>
      </c>
      <c r="D1718" s="392" t="s">
        <v>3461</v>
      </c>
      <c r="E1718" s="387">
        <v>352374</v>
      </c>
      <c r="F1718" s="594" t="s">
        <v>4293</v>
      </c>
      <c r="G1718" s="578">
        <v>37.479999999999997</v>
      </c>
      <c r="H1718" s="594">
        <v>3441790</v>
      </c>
      <c r="I1718" s="328"/>
      <c r="J1718" s="323" t="s">
        <v>4289</v>
      </c>
    </row>
    <row r="1719" spans="1:10" x14ac:dyDescent="0.25">
      <c r="A1719" s="321" t="s">
        <v>4264</v>
      </c>
      <c r="B1719" s="323" t="s">
        <v>0</v>
      </c>
      <c r="C1719" s="323" t="s">
        <v>238</v>
      </c>
      <c r="D1719" s="392" t="s">
        <v>1484</v>
      </c>
      <c r="E1719" s="387">
        <v>1053</v>
      </c>
      <c r="F1719" s="594" t="s">
        <v>4318</v>
      </c>
      <c r="G1719" s="578">
        <v>306.89999999999998</v>
      </c>
      <c r="H1719" s="594">
        <v>3442251</v>
      </c>
      <c r="I1719" s="328"/>
      <c r="J1719" s="323" t="s">
        <v>4316</v>
      </c>
    </row>
    <row r="1720" spans="1:10" x14ac:dyDescent="0.25">
      <c r="A1720" s="321" t="s">
        <v>4264</v>
      </c>
      <c r="B1720" s="323" t="s">
        <v>0</v>
      </c>
      <c r="C1720" s="323" t="s">
        <v>238</v>
      </c>
      <c r="D1720" s="392" t="s">
        <v>1487</v>
      </c>
      <c r="E1720" s="387">
        <v>351448</v>
      </c>
      <c r="F1720" s="594" t="s">
        <v>4312</v>
      </c>
      <c r="G1720" s="578">
        <v>168.88</v>
      </c>
      <c r="H1720" s="594">
        <v>3446949</v>
      </c>
      <c r="I1720" s="328"/>
      <c r="J1720" s="323" t="s">
        <v>4310</v>
      </c>
    </row>
    <row r="1721" spans="1:10" x14ac:dyDescent="0.25">
      <c r="A1721" s="321" t="s">
        <v>4264</v>
      </c>
      <c r="B1721" s="323" t="s">
        <v>0</v>
      </c>
      <c r="C1721" s="323" t="s">
        <v>238</v>
      </c>
      <c r="D1721" s="392" t="s">
        <v>94</v>
      </c>
      <c r="E1721" s="387">
        <v>350522</v>
      </c>
      <c r="F1721" s="594" t="s">
        <v>4306</v>
      </c>
      <c r="G1721" s="578">
        <v>60.95</v>
      </c>
      <c r="H1721" s="594">
        <v>3447428</v>
      </c>
      <c r="I1721" s="328"/>
      <c r="J1721" s="323" t="s">
        <v>4305</v>
      </c>
    </row>
    <row r="1722" spans="1:10" x14ac:dyDescent="0.25">
      <c r="A1722" s="321" t="s">
        <v>4264</v>
      </c>
      <c r="B1722" s="323" t="s">
        <v>0</v>
      </c>
      <c r="C1722" s="323" t="s">
        <v>238</v>
      </c>
      <c r="D1722" s="392" t="s">
        <v>1345</v>
      </c>
      <c r="E1722" s="387">
        <v>222176</v>
      </c>
      <c r="F1722" s="594" t="s">
        <v>4302</v>
      </c>
      <c r="G1722" s="578">
        <v>92.9</v>
      </c>
      <c r="H1722" s="594">
        <v>3447790</v>
      </c>
      <c r="I1722" s="328"/>
      <c r="J1722" s="323" t="s">
        <v>4299</v>
      </c>
    </row>
    <row r="1723" spans="1:10" x14ac:dyDescent="0.25">
      <c r="A1723" s="321" t="s">
        <v>4264</v>
      </c>
      <c r="B1723" s="323" t="s">
        <v>0</v>
      </c>
      <c r="C1723" s="323" t="s">
        <v>238</v>
      </c>
      <c r="D1723" s="392" t="s">
        <v>1493</v>
      </c>
      <c r="E1723" s="387">
        <v>350493</v>
      </c>
      <c r="F1723" s="594" t="s">
        <v>4282</v>
      </c>
      <c r="G1723" s="578">
        <v>31.55</v>
      </c>
      <c r="H1723" s="594">
        <v>3450047</v>
      </c>
      <c r="I1723" s="328"/>
      <c r="J1723" s="323" t="s">
        <v>4279</v>
      </c>
    </row>
    <row r="1724" spans="1:10" x14ac:dyDescent="0.25">
      <c r="A1724" s="321" t="s">
        <v>4264</v>
      </c>
      <c r="B1724" s="323" t="s">
        <v>0</v>
      </c>
      <c r="C1724" s="323" t="s">
        <v>238</v>
      </c>
      <c r="D1724" s="392" t="s">
        <v>4284</v>
      </c>
      <c r="E1724" s="387">
        <v>351551</v>
      </c>
      <c r="F1724" s="594" t="s">
        <v>4287</v>
      </c>
      <c r="G1724" s="578">
        <v>34.76</v>
      </c>
      <c r="H1724" s="594">
        <v>3453233</v>
      </c>
      <c r="I1724" s="328"/>
      <c r="J1724" s="323" t="s">
        <v>4285</v>
      </c>
    </row>
    <row r="1725" spans="1:10" x14ac:dyDescent="0.25">
      <c r="A1725" s="321" t="s">
        <v>4264</v>
      </c>
      <c r="B1725" s="323" t="s">
        <v>0</v>
      </c>
      <c r="C1725" s="323" t="s">
        <v>238</v>
      </c>
      <c r="D1725" s="392" t="s">
        <v>4276</v>
      </c>
      <c r="E1725" s="387">
        <v>352860</v>
      </c>
      <c r="F1725" s="594" t="s">
        <v>4278</v>
      </c>
      <c r="G1725" s="578">
        <v>29.45</v>
      </c>
      <c r="H1725" s="594">
        <v>3454561</v>
      </c>
      <c r="I1725" s="328"/>
      <c r="J1725" s="323" t="s">
        <v>4277</v>
      </c>
    </row>
    <row r="1726" spans="1:10" x14ac:dyDescent="0.25">
      <c r="A1726" s="321" t="s">
        <v>4264</v>
      </c>
      <c r="B1726" s="323" t="s">
        <v>0</v>
      </c>
      <c r="C1726" s="323" t="s">
        <v>238</v>
      </c>
      <c r="D1726" s="392" t="s">
        <v>4292</v>
      </c>
      <c r="E1726" s="387">
        <v>214596</v>
      </c>
      <c r="F1726" s="594" t="s">
        <v>4294</v>
      </c>
      <c r="G1726" s="578">
        <v>37.950000000000003</v>
      </c>
      <c r="H1726" s="594">
        <v>3454975</v>
      </c>
      <c r="I1726" s="328"/>
      <c r="J1726" s="323" t="s">
        <v>4290</v>
      </c>
    </row>
    <row r="1727" spans="1:10" x14ac:dyDescent="0.25">
      <c r="A1727" s="321" t="s">
        <v>4264</v>
      </c>
      <c r="B1727" s="323" t="s">
        <v>0</v>
      </c>
      <c r="C1727" s="323" t="s">
        <v>238</v>
      </c>
      <c r="D1727" s="392" t="s">
        <v>4281</v>
      </c>
      <c r="E1727" s="387">
        <v>351991</v>
      </c>
      <c r="F1727" s="594" t="s">
        <v>4283</v>
      </c>
      <c r="G1727" s="578">
        <v>32.950000000000003</v>
      </c>
      <c r="H1727" s="594">
        <v>3454989</v>
      </c>
      <c r="I1727" s="328"/>
      <c r="J1727" s="323" t="s">
        <v>4280</v>
      </c>
    </row>
    <row r="1728" spans="1:10" x14ac:dyDescent="0.25">
      <c r="A1728" s="321" t="s">
        <v>4264</v>
      </c>
      <c r="B1728" s="323" t="s">
        <v>0</v>
      </c>
      <c r="C1728" s="323" t="s">
        <v>238</v>
      </c>
      <c r="D1728" s="392" t="s">
        <v>2082</v>
      </c>
      <c r="E1728" s="387">
        <v>351527</v>
      </c>
      <c r="F1728" s="594" t="s">
        <v>4304</v>
      </c>
      <c r="G1728" s="578">
        <v>64.09</v>
      </c>
      <c r="H1728" s="594">
        <v>3454996</v>
      </c>
      <c r="I1728" s="328"/>
      <c r="J1728" s="323" t="s">
        <v>4300</v>
      </c>
    </row>
    <row r="1729" spans="1:10" x14ac:dyDescent="0.25">
      <c r="A1729" s="321" t="s">
        <v>4264</v>
      </c>
      <c r="B1729" s="323" t="s">
        <v>0</v>
      </c>
      <c r="C1729" s="323" t="s">
        <v>238</v>
      </c>
      <c r="D1729" s="392" t="s">
        <v>2082</v>
      </c>
      <c r="E1729" s="387">
        <v>351527</v>
      </c>
      <c r="F1729" s="594" t="s">
        <v>4303</v>
      </c>
      <c r="G1729" s="578">
        <f>40.9</f>
        <v>40.9</v>
      </c>
      <c r="H1729" s="594">
        <v>3455196</v>
      </c>
      <c r="I1729" s="328"/>
      <c r="J1729" s="323" t="s">
        <v>4300</v>
      </c>
    </row>
    <row r="1730" spans="1:10" x14ac:dyDescent="0.25">
      <c r="A1730" s="321" t="s">
        <v>4264</v>
      </c>
      <c r="B1730" s="323" t="s">
        <v>0</v>
      </c>
      <c r="C1730" s="323" t="s">
        <v>238</v>
      </c>
      <c r="D1730" s="392" t="s">
        <v>94</v>
      </c>
      <c r="E1730" s="387">
        <v>350522</v>
      </c>
      <c r="F1730" s="594" t="s">
        <v>4307</v>
      </c>
      <c r="G1730" s="578">
        <v>61.06</v>
      </c>
      <c r="H1730" s="594">
        <v>3455294</v>
      </c>
      <c r="I1730" s="328"/>
      <c r="J1730" s="323" t="s">
        <v>4305</v>
      </c>
    </row>
    <row r="1731" spans="1:10" x14ac:dyDescent="0.25">
      <c r="A1731" s="321" t="s">
        <v>4264</v>
      </c>
      <c r="B1731" s="323" t="s">
        <v>0</v>
      </c>
      <c r="C1731" s="323" t="s">
        <v>3562</v>
      </c>
      <c r="D1731" s="392" t="s">
        <v>2270</v>
      </c>
      <c r="E1731" s="387">
        <v>352661</v>
      </c>
      <c r="F1731" s="594" t="s">
        <v>4321</v>
      </c>
      <c r="G1731" s="578">
        <v>44.95</v>
      </c>
      <c r="H1731" s="594">
        <v>3437370</v>
      </c>
      <c r="I1731" s="328"/>
      <c r="J1731" s="323" t="s">
        <v>4320</v>
      </c>
    </row>
    <row r="1732" spans="1:10" x14ac:dyDescent="0.25">
      <c r="A1732" s="321" t="s">
        <v>4264</v>
      </c>
      <c r="B1732" s="323" t="s">
        <v>0</v>
      </c>
      <c r="D1732" s="392" t="s">
        <v>47</v>
      </c>
      <c r="E1732" s="387">
        <v>352265</v>
      </c>
      <c r="F1732" s="594" t="s">
        <v>4288</v>
      </c>
      <c r="G1732" s="578">
        <v>34.950000000000003</v>
      </c>
      <c r="H1732" s="594">
        <v>3422853</v>
      </c>
      <c r="I1732" s="328"/>
      <c r="J1732" s="323" t="s">
        <v>4286</v>
      </c>
    </row>
    <row r="1733" spans="1:10" x14ac:dyDescent="0.25">
      <c r="A1733" s="321" t="s">
        <v>4264</v>
      </c>
      <c r="B1733" s="323" t="s">
        <v>0</v>
      </c>
      <c r="C1733" s="323" t="s">
        <v>238</v>
      </c>
      <c r="D1733" s="392" t="s">
        <v>2153</v>
      </c>
      <c r="E1733" s="387">
        <v>351194</v>
      </c>
      <c r="F1733" s="594" t="s">
        <v>4301</v>
      </c>
      <c r="G1733" s="578">
        <v>85.95</v>
      </c>
      <c r="H1733" s="594">
        <v>3433914</v>
      </c>
      <c r="I1733" s="328"/>
      <c r="J1733" s="323" t="s">
        <v>4298</v>
      </c>
    </row>
    <row r="1734" spans="1:10" x14ac:dyDescent="0.25">
      <c r="A1734" s="321" t="s">
        <v>4264</v>
      </c>
      <c r="B1734" s="323" t="s">
        <v>0</v>
      </c>
      <c r="C1734" s="323" t="s">
        <v>238</v>
      </c>
      <c r="D1734" s="392" t="s">
        <v>2272</v>
      </c>
      <c r="E1734" s="387">
        <v>350423</v>
      </c>
      <c r="F1734" s="594" t="s">
        <v>4317</v>
      </c>
      <c r="G1734" s="578">
        <v>302.06</v>
      </c>
      <c r="H1734" s="594">
        <v>3439581</v>
      </c>
      <c r="I1734" s="328"/>
      <c r="J1734" s="323" t="s">
        <v>4315</v>
      </c>
    </row>
    <row r="1735" spans="1:10" x14ac:dyDescent="0.25">
      <c r="A1735" s="321" t="s">
        <v>4264</v>
      </c>
      <c r="B1735" s="323" t="s">
        <v>0</v>
      </c>
      <c r="D1735" s="392" t="s">
        <v>2742</v>
      </c>
      <c r="E1735" s="387">
        <v>351440</v>
      </c>
      <c r="F1735" s="594" t="s">
        <v>4297</v>
      </c>
      <c r="G1735" s="578">
        <v>46.59</v>
      </c>
      <c r="H1735" s="594">
        <v>3440044</v>
      </c>
      <c r="I1735" s="328"/>
      <c r="J1735" s="323" t="s">
        <v>4296</v>
      </c>
    </row>
    <row r="1736" spans="1:10" x14ac:dyDescent="0.25">
      <c r="A1736" s="321" t="s">
        <v>4264</v>
      </c>
      <c r="B1736" s="323" t="s">
        <v>0</v>
      </c>
      <c r="C1736" s="323" t="s">
        <v>3562</v>
      </c>
      <c r="D1736" s="392" t="s">
        <v>2079</v>
      </c>
      <c r="E1736" s="387">
        <v>215037</v>
      </c>
      <c r="F1736" s="594" t="s">
        <v>4272</v>
      </c>
      <c r="G1736" s="578">
        <v>18.899999999999999</v>
      </c>
      <c r="H1736" s="594">
        <v>3443058</v>
      </c>
      <c r="I1736" s="328"/>
      <c r="J1736" s="323" t="s">
        <v>4269</v>
      </c>
    </row>
    <row r="1737" spans="1:10" x14ac:dyDescent="0.25">
      <c r="A1737" s="321" t="s">
        <v>4264</v>
      </c>
      <c r="B1737" s="323" t="s">
        <v>0</v>
      </c>
      <c r="C1737" s="323" t="s">
        <v>238</v>
      </c>
      <c r="D1737" s="392" t="s">
        <v>2980</v>
      </c>
      <c r="E1737" s="387">
        <v>352420</v>
      </c>
      <c r="F1737" s="594" t="s">
        <v>4274</v>
      </c>
      <c r="G1737" s="578">
        <v>23.77</v>
      </c>
      <c r="H1737" s="594">
        <v>3445898</v>
      </c>
      <c r="I1737" s="328"/>
      <c r="J1737" s="323" t="s">
        <v>4275</v>
      </c>
    </row>
    <row r="1738" spans="1:10" x14ac:dyDescent="0.25">
      <c r="A1738" s="321">
        <v>42941</v>
      </c>
      <c r="B1738" s="323" t="s">
        <v>127</v>
      </c>
      <c r="D1738" s="392" t="s">
        <v>2950</v>
      </c>
      <c r="E1738" s="387">
        <v>213393</v>
      </c>
      <c r="F1738" s="594"/>
      <c r="G1738" s="578">
        <v>44.5</v>
      </c>
      <c r="H1738" s="594">
        <v>3419219</v>
      </c>
      <c r="I1738" s="328"/>
      <c r="J1738" s="323" t="s">
        <v>4319</v>
      </c>
    </row>
    <row r="1739" spans="1:10" x14ac:dyDescent="0.25">
      <c r="A1739" s="321" t="s">
        <v>4322</v>
      </c>
      <c r="B1739" s="323" t="s">
        <v>0</v>
      </c>
      <c r="C1739" s="323" t="s">
        <v>4268</v>
      </c>
      <c r="D1739" s="392" t="s">
        <v>2270</v>
      </c>
      <c r="E1739" s="387">
        <v>352661</v>
      </c>
      <c r="F1739" s="594" t="s">
        <v>4321</v>
      </c>
      <c r="G1739" s="578">
        <v>-44.95</v>
      </c>
      <c r="H1739" s="594">
        <v>3437370</v>
      </c>
      <c r="I1739" s="328"/>
      <c r="J1739" s="323" t="s">
        <v>4323</v>
      </c>
    </row>
    <row r="1740" spans="1:10" x14ac:dyDescent="0.25">
      <c r="A1740" s="321" t="s">
        <v>4322</v>
      </c>
      <c r="B1740" s="323" t="s">
        <v>0</v>
      </c>
      <c r="C1740" s="323" t="s">
        <v>238</v>
      </c>
      <c r="D1740" s="392" t="s">
        <v>1227</v>
      </c>
      <c r="E1740" s="387">
        <v>350414</v>
      </c>
      <c r="F1740" s="594" t="s">
        <v>4329</v>
      </c>
      <c r="G1740" s="578">
        <v>36.950000000000003</v>
      </c>
      <c r="H1740" s="594">
        <v>3454273</v>
      </c>
      <c r="I1740" s="600"/>
      <c r="J1740" s="323" t="s">
        <v>4324</v>
      </c>
    </row>
    <row r="1741" spans="1:10" x14ac:dyDescent="0.25">
      <c r="A1741" s="321" t="s">
        <v>4322</v>
      </c>
      <c r="B1741" s="323" t="s">
        <v>0</v>
      </c>
      <c r="C1741" s="323" t="s">
        <v>238</v>
      </c>
      <c r="D1741" s="392" t="s">
        <v>4325</v>
      </c>
      <c r="E1741" s="387">
        <v>352837</v>
      </c>
      <c r="F1741" s="594" t="s">
        <v>4330</v>
      </c>
      <c r="G1741" s="578">
        <v>41.71</v>
      </c>
      <c r="H1741" s="594">
        <v>3472779</v>
      </c>
      <c r="I1741" s="600"/>
      <c r="J1741" s="323" t="s">
        <v>4326</v>
      </c>
    </row>
    <row r="1742" spans="1:10" x14ac:dyDescent="0.25">
      <c r="A1742" s="321" t="s">
        <v>4322</v>
      </c>
      <c r="B1742" s="323" t="s">
        <v>0</v>
      </c>
      <c r="C1742" s="323" t="s">
        <v>238</v>
      </c>
      <c r="D1742" s="392" t="s">
        <v>2124</v>
      </c>
      <c r="E1742" s="387">
        <v>350447</v>
      </c>
      <c r="F1742" s="594" t="s">
        <v>4331</v>
      </c>
      <c r="G1742" s="578">
        <v>45.3</v>
      </c>
      <c r="H1742" s="594">
        <v>3472871</v>
      </c>
      <c r="I1742" s="600"/>
      <c r="J1742" s="323" t="s">
        <v>4327</v>
      </c>
    </row>
    <row r="1743" spans="1:10" x14ac:dyDescent="0.25">
      <c r="A1743" s="321" t="s">
        <v>4322</v>
      </c>
      <c r="B1743" s="323" t="s">
        <v>0</v>
      </c>
      <c r="C1743" s="323" t="s">
        <v>2831</v>
      </c>
      <c r="D1743" s="392" t="s">
        <v>1522</v>
      </c>
      <c r="E1743" s="387">
        <v>351063</v>
      </c>
      <c r="F1743" s="594" t="s">
        <v>4332</v>
      </c>
      <c r="G1743" s="578">
        <v>49.16</v>
      </c>
      <c r="H1743" s="594">
        <v>3460868</v>
      </c>
      <c r="I1743" s="600"/>
      <c r="J1743" s="323" t="s">
        <v>4328</v>
      </c>
    </row>
    <row r="1744" spans="1:10" x14ac:dyDescent="0.25">
      <c r="A1744" s="321" t="s">
        <v>4322</v>
      </c>
      <c r="B1744" s="323" t="s">
        <v>0</v>
      </c>
      <c r="C1744" s="323" t="s">
        <v>238</v>
      </c>
      <c r="D1744" s="392" t="s">
        <v>4335</v>
      </c>
      <c r="E1744" s="387">
        <v>288</v>
      </c>
      <c r="F1744" s="594" t="s">
        <v>4337</v>
      </c>
      <c r="G1744" s="578">
        <v>56.75</v>
      </c>
      <c r="H1744" s="594">
        <v>3484696</v>
      </c>
      <c r="I1744" s="600"/>
      <c r="J1744" s="323" t="s">
        <v>4333</v>
      </c>
    </row>
    <row r="1745" spans="1:10" x14ac:dyDescent="0.25">
      <c r="A1745" s="321" t="s">
        <v>4322</v>
      </c>
      <c r="B1745" s="323" t="s">
        <v>0</v>
      </c>
      <c r="C1745" s="323" t="s">
        <v>238</v>
      </c>
      <c r="D1745" s="392" t="s">
        <v>4336</v>
      </c>
      <c r="E1745" s="387">
        <v>350376</v>
      </c>
      <c r="F1745" s="594" t="s">
        <v>4338</v>
      </c>
      <c r="G1745" s="578">
        <v>57.95</v>
      </c>
      <c r="H1745" s="594">
        <v>3484047</v>
      </c>
      <c r="I1745" s="600"/>
      <c r="J1745" s="323" t="s">
        <v>4334</v>
      </c>
    </row>
    <row r="1746" spans="1:10" x14ac:dyDescent="0.25">
      <c r="A1746" s="321" t="s">
        <v>4322</v>
      </c>
      <c r="B1746" s="323" t="s">
        <v>0</v>
      </c>
      <c r="C1746" s="323" t="s">
        <v>238</v>
      </c>
      <c r="D1746" s="392" t="s">
        <v>4340</v>
      </c>
      <c r="E1746" s="387">
        <v>350248</v>
      </c>
      <c r="F1746" s="594" t="s">
        <v>4341</v>
      </c>
      <c r="G1746" s="578">
        <v>109.7</v>
      </c>
      <c r="H1746" s="594">
        <v>3484659</v>
      </c>
      <c r="I1746" s="600"/>
      <c r="J1746" s="323" t="s">
        <v>4339</v>
      </c>
    </row>
    <row r="1747" spans="1:10" x14ac:dyDescent="0.25">
      <c r="A1747" s="321" t="s">
        <v>4322</v>
      </c>
      <c r="B1747" s="323" t="s">
        <v>0</v>
      </c>
      <c r="D1747" s="392" t="s">
        <v>1405</v>
      </c>
      <c r="E1747" s="387">
        <v>350352</v>
      </c>
      <c r="F1747" s="594" t="s">
        <v>4343</v>
      </c>
      <c r="G1747" s="578">
        <v>114.27</v>
      </c>
      <c r="H1747" s="594">
        <v>3427269</v>
      </c>
      <c r="I1747" s="600"/>
      <c r="J1747" s="323" t="s">
        <v>4342</v>
      </c>
    </row>
    <row r="1748" spans="1:10" x14ac:dyDescent="0.25">
      <c r="A1748" s="321" t="s">
        <v>4322</v>
      </c>
      <c r="B1748" s="323" t="s">
        <v>0</v>
      </c>
      <c r="D1748" s="392" t="s">
        <v>1405</v>
      </c>
      <c r="E1748" s="387">
        <v>350352</v>
      </c>
      <c r="F1748" s="594" t="s">
        <v>4344</v>
      </c>
      <c r="G1748" s="578">
        <v>32.26</v>
      </c>
      <c r="H1748" s="594">
        <v>3420749</v>
      </c>
      <c r="I1748" s="600"/>
      <c r="J1748" s="323" t="s">
        <v>4342</v>
      </c>
    </row>
    <row r="1749" spans="1:10" x14ac:dyDescent="0.25">
      <c r="A1749" s="321" t="s">
        <v>4322</v>
      </c>
      <c r="B1749" s="323" t="s">
        <v>0</v>
      </c>
      <c r="C1749" s="323" t="s">
        <v>238</v>
      </c>
      <c r="D1749" s="392" t="s">
        <v>2071</v>
      </c>
      <c r="E1749" s="387">
        <v>351849</v>
      </c>
      <c r="F1749" s="594" t="s">
        <v>4346</v>
      </c>
      <c r="G1749" s="578">
        <v>31.01</v>
      </c>
      <c r="H1749" s="594">
        <v>3451301</v>
      </c>
      <c r="I1749" s="600"/>
      <c r="J1749" s="323" t="s">
        <v>4345</v>
      </c>
    </row>
    <row r="1750" spans="1:10" x14ac:dyDescent="0.25">
      <c r="A1750" s="321" t="s">
        <v>4322</v>
      </c>
      <c r="B1750" s="323" t="s">
        <v>0</v>
      </c>
      <c r="C1750" s="323" t="s">
        <v>238</v>
      </c>
      <c r="D1750" s="392" t="s">
        <v>4347</v>
      </c>
      <c r="E1750" s="387">
        <v>353804</v>
      </c>
      <c r="F1750" s="594"/>
      <c r="G1750" s="578">
        <v>52.92</v>
      </c>
      <c r="H1750" s="594"/>
      <c r="I1750" s="328"/>
      <c r="J1750" s="323" t="s">
        <v>2374</v>
      </c>
    </row>
    <row r="1751" spans="1:10" x14ac:dyDescent="0.25">
      <c r="A1751" s="321">
        <v>42950</v>
      </c>
      <c r="B1751" s="323" t="s">
        <v>127</v>
      </c>
      <c r="D1751" s="392" t="s">
        <v>4271</v>
      </c>
      <c r="E1751" s="387">
        <v>218480</v>
      </c>
      <c r="F1751" s="594"/>
      <c r="G1751" s="578">
        <v>71.95</v>
      </c>
      <c r="H1751" s="594">
        <v>3480061</v>
      </c>
      <c r="I1751" s="328"/>
      <c r="J1751" s="323" t="s">
        <v>4319</v>
      </c>
    </row>
    <row r="1752" spans="1:10" x14ac:dyDescent="0.25">
      <c r="A1752" s="321">
        <v>42950</v>
      </c>
      <c r="B1752" s="323" t="s">
        <v>127</v>
      </c>
      <c r="D1752" s="392" t="s">
        <v>4348</v>
      </c>
      <c r="E1752" s="387">
        <v>211549</v>
      </c>
      <c r="F1752" s="594"/>
      <c r="G1752" s="578">
        <f>142.32+17.73</f>
        <v>160.04999999999998</v>
      </c>
      <c r="H1752" s="594">
        <v>3477694</v>
      </c>
      <c r="I1752" s="328"/>
      <c r="J1752" s="323" t="s">
        <v>4319</v>
      </c>
    </row>
    <row r="1753" spans="1:10" x14ac:dyDescent="0.25">
      <c r="A1753" s="321">
        <v>42948</v>
      </c>
      <c r="B1753" s="323" t="s">
        <v>127</v>
      </c>
      <c r="D1753" s="392" t="s">
        <v>2130</v>
      </c>
      <c r="E1753" s="387">
        <v>214122</v>
      </c>
      <c r="F1753" s="594"/>
      <c r="G1753" s="578">
        <v>147.94999999999999</v>
      </c>
      <c r="H1753" s="594">
        <v>3463544</v>
      </c>
      <c r="I1753" s="328"/>
      <c r="J1753" s="323" t="s">
        <v>4319</v>
      </c>
    </row>
    <row r="1754" spans="1:10" x14ac:dyDescent="0.25">
      <c r="A1754" s="321">
        <v>42951</v>
      </c>
      <c r="B1754" s="323" t="s">
        <v>127</v>
      </c>
      <c r="C1754" s="323" t="s">
        <v>4551</v>
      </c>
      <c r="D1754" s="392" t="s">
        <v>4349</v>
      </c>
      <c r="E1754" s="387">
        <v>354623</v>
      </c>
      <c r="F1754" s="594"/>
      <c r="G1754" s="606">
        <f>14.03+11.55</f>
        <v>25.58</v>
      </c>
      <c r="H1754" s="594">
        <v>3480221</v>
      </c>
      <c r="I1754" s="328"/>
      <c r="J1754" s="323" t="s">
        <v>4319</v>
      </c>
    </row>
    <row r="1755" spans="1:10" x14ac:dyDescent="0.25">
      <c r="A1755" s="321">
        <v>42951</v>
      </c>
      <c r="B1755" s="323" t="s">
        <v>127</v>
      </c>
      <c r="C1755" s="323" t="s">
        <v>4551</v>
      </c>
      <c r="D1755" s="392" t="s">
        <v>4349</v>
      </c>
      <c r="E1755" s="387">
        <v>354623</v>
      </c>
      <c r="F1755" s="594"/>
      <c r="G1755" s="606">
        <f>39.54+19.67</f>
        <v>59.21</v>
      </c>
      <c r="H1755" s="594">
        <v>3482772</v>
      </c>
      <c r="I1755" s="328"/>
      <c r="J1755" s="323" t="s">
        <v>4319</v>
      </c>
    </row>
    <row r="1756" spans="1:10" x14ac:dyDescent="0.25">
      <c r="A1756" s="321">
        <v>42951</v>
      </c>
      <c r="B1756" s="323" t="s">
        <v>127</v>
      </c>
      <c r="C1756" s="323" t="s">
        <v>4551</v>
      </c>
      <c r="D1756" s="392" t="s">
        <v>4349</v>
      </c>
      <c r="E1756" s="387">
        <v>354623</v>
      </c>
      <c r="F1756" s="594"/>
      <c r="G1756" s="606">
        <f>50.03+164.77</f>
        <v>214.8</v>
      </c>
      <c r="H1756" s="594">
        <v>3483765</v>
      </c>
      <c r="I1756" s="328"/>
      <c r="J1756" s="323" t="s">
        <v>4319</v>
      </c>
    </row>
    <row r="1757" spans="1:10" x14ac:dyDescent="0.25">
      <c r="A1757" s="321">
        <v>42948</v>
      </c>
      <c r="B1757" s="323" t="s">
        <v>127</v>
      </c>
      <c r="C1757" s="323" t="s">
        <v>4551</v>
      </c>
      <c r="D1757" s="392" t="s">
        <v>4350</v>
      </c>
      <c r="E1757" s="387">
        <v>354554</v>
      </c>
      <c r="F1757" s="594"/>
      <c r="G1757" s="596">
        <f>16.11+39.54</f>
        <v>55.65</v>
      </c>
      <c r="H1757" s="594">
        <v>3460848</v>
      </c>
      <c r="I1757" s="328"/>
      <c r="J1757" s="323" t="s">
        <v>4319</v>
      </c>
    </row>
    <row r="1758" spans="1:10" x14ac:dyDescent="0.25">
      <c r="A1758" s="321">
        <v>42948</v>
      </c>
      <c r="B1758" s="323" t="s">
        <v>127</v>
      </c>
      <c r="C1758" s="323" t="s">
        <v>4551</v>
      </c>
      <c r="D1758" s="392" t="s">
        <v>4350</v>
      </c>
      <c r="E1758" s="387">
        <v>354554</v>
      </c>
      <c r="F1758" s="594"/>
      <c r="G1758" s="596">
        <f>3.38+19.52</f>
        <v>22.9</v>
      </c>
      <c r="H1758" s="594">
        <v>3461316</v>
      </c>
      <c r="I1758" s="328"/>
      <c r="J1758" s="323" t="s">
        <v>4319</v>
      </c>
    </row>
    <row r="1759" spans="1:10" x14ac:dyDescent="0.25">
      <c r="A1759" s="321">
        <v>42948</v>
      </c>
      <c r="B1759" s="323" t="s">
        <v>127</v>
      </c>
      <c r="C1759" s="323" t="s">
        <v>4551</v>
      </c>
      <c r="D1759" s="392" t="s">
        <v>4350</v>
      </c>
      <c r="E1759" s="387">
        <v>354554</v>
      </c>
      <c r="F1759" s="594"/>
      <c r="G1759" s="596">
        <f>111.85+10</f>
        <v>121.85</v>
      </c>
      <c r="H1759" s="594">
        <v>3465997</v>
      </c>
      <c r="I1759" s="328"/>
      <c r="J1759" s="323" t="s">
        <v>4319</v>
      </c>
    </row>
    <row r="1760" spans="1:10" x14ac:dyDescent="0.25">
      <c r="A1760" s="321">
        <v>42949</v>
      </c>
      <c r="B1760" s="323" t="s">
        <v>127</v>
      </c>
      <c r="C1760" s="323" t="s">
        <v>4551</v>
      </c>
      <c r="D1760" s="392" t="s">
        <v>4350</v>
      </c>
      <c r="E1760" s="387">
        <v>354554</v>
      </c>
      <c r="F1760" s="594"/>
      <c r="G1760" s="596">
        <f>32.32+54.63</f>
        <v>86.95</v>
      </c>
      <c r="H1760" s="594">
        <v>3469654</v>
      </c>
      <c r="I1760" s="328"/>
      <c r="J1760" s="323" t="s">
        <v>4319</v>
      </c>
    </row>
    <row r="1761" spans="1:10" x14ac:dyDescent="0.25">
      <c r="A1761" s="321">
        <v>42949</v>
      </c>
      <c r="B1761" s="323" t="s">
        <v>127</v>
      </c>
      <c r="C1761" s="323" t="s">
        <v>4551</v>
      </c>
      <c r="D1761" s="392" t="s">
        <v>4350</v>
      </c>
      <c r="E1761" s="387">
        <v>354554</v>
      </c>
      <c r="F1761" s="594"/>
      <c r="G1761" s="596">
        <f>18.89+39.01</f>
        <v>57.9</v>
      </c>
      <c r="H1761" s="594">
        <v>3474853</v>
      </c>
      <c r="I1761" s="328"/>
      <c r="J1761" s="323" t="s">
        <v>4319</v>
      </c>
    </row>
    <row r="1762" spans="1:10" x14ac:dyDescent="0.25">
      <c r="A1762" s="321">
        <v>42950</v>
      </c>
      <c r="B1762" s="323" t="s">
        <v>127</v>
      </c>
      <c r="C1762" s="323" t="s">
        <v>4551</v>
      </c>
      <c r="D1762" s="392" t="s">
        <v>4350</v>
      </c>
      <c r="E1762" s="387">
        <v>354554</v>
      </c>
      <c r="F1762" s="594"/>
      <c r="G1762" s="596">
        <f>39.69+193.56</f>
        <v>233.25</v>
      </c>
      <c r="H1762" s="594">
        <v>3469878</v>
      </c>
      <c r="I1762" s="328"/>
      <c r="J1762" s="323" t="s">
        <v>4319</v>
      </c>
    </row>
    <row r="1763" spans="1:10" x14ac:dyDescent="0.25">
      <c r="A1763" s="321">
        <v>42947</v>
      </c>
      <c r="B1763" s="323" t="s">
        <v>127</v>
      </c>
      <c r="C1763" s="323" t="s">
        <v>4551</v>
      </c>
      <c r="D1763" s="392">
        <v>376277102996</v>
      </c>
      <c r="E1763" s="387">
        <v>354554</v>
      </c>
      <c r="F1763" s="594"/>
      <c r="G1763" s="596">
        <f>18.02+92.06</f>
        <v>110.08</v>
      </c>
      <c r="H1763" s="594">
        <v>3456419</v>
      </c>
      <c r="I1763" s="328"/>
      <c r="J1763" s="323" t="s">
        <v>4319</v>
      </c>
    </row>
    <row r="1764" spans="1:10" x14ac:dyDescent="0.25">
      <c r="A1764" s="321">
        <v>42947</v>
      </c>
      <c r="B1764" s="323" t="s">
        <v>127</v>
      </c>
      <c r="C1764" s="323" t="s">
        <v>4551</v>
      </c>
      <c r="D1764" s="392">
        <v>376277102996</v>
      </c>
      <c r="E1764" s="387">
        <v>354554</v>
      </c>
      <c r="F1764" s="594"/>
      <c r="G1764" s="596">
        <f>24.47+8.48</f>
        <v>32.950000000000003</v>
      </c>
      <c r="H1764" s="594">
        <v>3458613</v>
      </c>
      <c r="I1764" s="328"/>
      <c r="J1764" s="323" t="s">
        <v>4319</v>
      </c>
    </row>
    <row r="1765" spans="1:10" x14ac:dyDescent="0.25">
      <c r="A1765" s="321" t="s">
        <v>4352</v>
      </c>
      <c r="B1765" s="323" t="s">
        <v>0</v>
      </c>
      <c r="C1765" s="323" t="s">
        <v>2688</v>
      </c>
      <c r="D1765" s="392">
        <v>376255503991</v>
      </c>
      <c r="E1765" s="387">
        <v>350097</v>
      </c>
      <c r="F1765" s="594" t="s">
        <v>3677</v>
      </c>
      <c r="G1765" s="578">
        <v>-77.150000000000006</v>
      </c>
      <c r="H1765" s="594">
        <v>3321808</v>
      </c>
      <c r="I1765" s="328"/>
      <c r="J1765" s="323" t="s">
        <v>4351</v>
      </c>
    </row>
    <row r="1766" spans="1:10" x14ac:dyDescent="0.25">
      <c r="A1766" s="321" t="s">
        <v>4352</v>
      </c>
      <c r="B1766" s="323" t="s">
        <v>0</v>
      </c>
      <c r="C1766" s="323" t="s">
        <v>2688</v>
      </c>
      <c r="D1766" s="392" t="s">
        <v>4236</v>
      </c>
      <c r="E1766" s="387">
        <v>352709</v>
      </c>
      <c r="F1766" s="594" t="s">
        <v>4240</v>
      </c>
      <c r="G1766" s="578">
        <v>-101.61</v>
      </c>
      <c r="H1766" s="594">
        <v>3405861</v>
      </c>
      <c r="I1766" s="328"/>
      <c r="J1766" s="323" t="s">
        <v>4353</v>
      </c>
    </row>
    <row r="1767" spans="1:10" x14ac:dyDescent="0.25">
      <c r="A1767" s="321" t="s">
        <v>4352</v>
      </c>
      <c r="B1767" s="323" t="s">
        <v>0</v>
      </c>
      <c r="C1767" s="323" t="s">
        <v>2688</v>
      </c>
      <c r="D1767" s="392" t="s">
        <v>3848</v>
      </c>
      <c r="E1767" s="387">
        <v>351104</v>
      </c>
      <c r="F1767" s="594" t="s">
        <v>3854</v>
      </c>
      <c r="G1767" s="578">
        <v>-68.75</v>
      </c>
      <c r="H1767" s="594">
        <v>3357925</v>
      </c>
      <c r="I1767" s="328"/>
      <c r="J1767" s="323" t="s">
        <v>4354</v>
      </c>
    </row>
    <row r="1768" spans="1:10" x14ac:dyDescent="0.25">
      <c r="A1768" s="321" t="s">
        <v>4352</v>
      </c>
      <c r="B1768" s="323" t="s">
        <v>0</v>
      </c>
      <c r="C1768" s="323" t="s">
        <v>2688</v>
      </c>
      <c r="D1768" s="392" t="s">
        <v>3578</v>
      </c>
      <c r="E1768" s="387">
        <v>350771</v>
      </c>
      <c r="F1768" s="594" t="s">
        <v>3585</v>
      </c>
      <c r="G1768" s="578">
        <v>-30.65</v>
      </c>
      <c r="H1768" s="594">
        <v>3307784</v>
      </c>
      <c r="I1768" s="328"/>
      <c r="J1768" s="323" t="s">
        <v>4355</v>
      </c>
    </row>
    <row r="1769" spans="1:10" x14ac:dyDescent="0.25">
      <c r="A1769" s="321" t="s">
        <v>4352</v>
      </c>
      <c r="B1769" s="323" t="s">
        <v>0</v>
      </c>
      <c r="C1769" s="323" t="s">
        <v>238</v>
      </c>
      <c r="D1769" s="392" t="s">
        <v>390</v>
      </c>
      <c r="E1769" s="387">
        <v>351237</v>
      </c>
      <c r="F1769" s="594" t="s">
        <v>4379</v>
      </c>
      <c r="G1769" s="578">
        <v>321.86</v>
      </c>
      <c r="H1769" s="594">
        <v>3499344</v>
      </c>
      <c r="I1769" s="328"/>
      <c r="J1769" s="323" t="s">
        <v>4378</v>
      </c>
    </row>
    <row r="1770" spans="1:10" x14ac:dyDescent="0.25">
      <c r="A1770" s="321" t="s">
        <v>4352</v>
      </c>
      <c r="B1770" s="323" t="s">
        <v>0</v>
      </c>
      <c r="C1770" s="323" t="s">
        <v>238</v>
      </c>
      <c r="D1770" s="392" t="s">
        <v>4362</v>
      </c>
      <c r="E1770" s="387">
        <v>352176</v>
      </c>
      <c r="F1770" s="594" t="s">
        <v>4361</v>
      </c>
      <c r="G1770" s="578">
        <v>38.56</v>
      </c>
      <c r="H1770" s="594">
        <v>3503824</v>
      </c>
      <c r="I1770" s="328"/>
      <c r="J1770" s="323" t="s">
        <v>4360</v>
      </c>
    </row>
    <row r="1771" spans="1:10" x14ac:dyDescent="0.25">
      <c r="A1771" s="321" t="s">
        <v>4352</v>
      </c>
      <c r="B1771" s="323" t="s">
        <v>0</v>
      </c>
      <c r="C1771" s="323" t="s">
        <v>238</v>
      </c>
      <c r="D1771" s="392" t="s">
        <v>4364</v>
      </c>
      <c r="E1771" s="387">
        <v>212285</v>
      </c>
      <c r="F1771" s="594" t="s">
        <v>4365</v>
      </c>
      <c r="G1771" s="578">
        <v>58.66</v>
      </c>
      <c r="H1771" s="594">
        <v>3510539</v>
      </c>
      <c r="I1771" s="328"/>
      <c r="J1771" s="323" t="s">
        <v>4363</v>
      </c>
    </row>
    <row r="1772" spans="1:10" x14ac:dyDescent="0.25">
      <c r="A1772" s="321" t="s">
        <v>4352</v>
      </c>
      <c r="B1772" s="323" t="s">
        <v>0</v>
      </c>
      <c r="C1772" s="323" t="s">
        <v>2689</v>
      </c>
      <c r="D1772" s="392" t="s">
        <v>3455</v>
      </c>
      <c r="E1772" s="387">
        <v>351461</v>
      </c>
      <c r="F1772" s="594" t="s">
        <v>4376</v>
      </c>
      <c r="G1772" s="578">
        <v>148.69999999999999</v>
      </c>
      <c r="H1772" s="594">
        <v>3501740</v>
      </c>
      <c r="I1772" s="328"/>
      <c r="J1772" s="323" t="s">
        <v>4374</v>
      </c>
    </row>
    <row r="1773" spans="1:10" x14ac:dyDescent="0.25">
      <c r="A1773" s="321" t="s">
        <v>4352</v>
      </c>
      <c r="B1773" s="323" t="s">
        <v>0</v>
      </c>
      <c r="C1773" s="323" t="s">
        <v>2689</v>
      </c>
      <c r="D1773" s="392" t="s">
        <v>4367</v>
      </c>
      <c r="E1773" s="387">
        <v>351831</v>
      </c>
      <c r="F1773" s="594" t="s">
        <v>4370</v>
      </c>
      <c r="G1773" s="578">
        <v>61.03</v>
      </c>
      <c r="H1773" s="594">
        <v>3510292</v>
      </c>
      <c r="I1773" s="328"/>
      <c r="J1773" s="323" t="s">
        <v>4366</v>
      </c>
    </row>
    <row r="1774" spans="1:10" x14ac:dyDescent="0.25">
      <c r="A1774" s="321" t="s">
        <v>4352</v>
      </c>
      <c r="B1774" s="323" t="s">
        <v>0</v>
      </c>
      <c r="C1774" s="415" t="s">
        <v>4826</v>
      </c>
      <c r="D1774" s="392" t="s">
        <v>4350</v>
      </c>
      <c r="E1774" s="387">
        <v>354554</v>
      </c>
      <c r="F1774" s="594"/>
      <c r="G1774" s="578">
        <v>721.53</v>
      </c>
      <c r="H1774" s="594"/>
      <c r="I1774" s="328"/>
      <c r="J1774" s="323" t="s">
        <v>3267</v>
      </c>
    </row>
    <row r="1775" spans="1:10" x14ac:dyDescent="0.25">
      <c r="A1775" s="321" t="s">
        <v>4352</v>
      </c>
      <c r="B1775" s="323" t="s">
        <v>0</v>
      </c>
      <c r="C1775" s="606" t="s">
        <v>4826</v>
      </c>
      <c r="D1775" s="392" t="s">
        <v>4349</v>
      </c>
      <c r="E1775" s="387">
        <v>354623</v>
      </c>
      <c r="F1775" s="594"/>
      <c r="G1775" s="578">
        <v>299.58999999999997</v>
      </c>
      <c r="H1775" s="594"/>
      <c r="I1775" s="328"/>
      <c r="J1775" s="323" t="s">
        <v>3267</v>
      </c>
    </row>
    <row r="1776" spans="1:10" x14ac:dyDescent="0.25">
      <c r="A1776" s="321" t="s">
        <v>4352</v>
      </c>
      <c r="B1776" s="323" t="s">
        <v>0</v>
      </c>
      <c r="D1776" s="392" t="s">
        <v>2231</v>
      </c>
      <c r="E1776" s="387">
        <v>351500</v>
      </c>
      <c r="F1776" s="594" t="s">
        <v>4359</v>
      </c>
      <c r="G1776" s="578">
        <v>-54.71</v>
      </c>
      <c r="H1776" s="594">
        <v>3510379</v>
      </c>
      <c r="I1776" s="328"/>
      <c r="J1776" s="323" t="s">
        <v>4358</v>
      </c>
    </row>
    <row r="1777" spans="1:10" x14ac:dyDescent="0.25">
      <c r="A1777" s="321" t="s">
        <v>4352</v>
      </c>
      <c r="B1777" s="323" t="s">
        <v>0</v>
      </c>
      <c r="D1777" s="392" t="s">
        <v>2231</v>
      </c>
      <c r="E1777" s="387">
        <v>351500</v>
      </c>
      <c r="F1777" s="594" t="s">
        <v>4359</v>
      </c>
      <c r="G1777" s="578">
        <v>-54.71</v>
      </c>
      <c r="H1777" s="594">
        <v>3510379</v>
      </c>
      <c r="I1777" s="328"/>
      <c r="J1777" s="323" t="s">
        <v>4358</v>
      </c>
    </row>
    <row r="1778" spans="1:10" x14ac:dyDescent="0.25">
      <c r="A1778" s="321" t="s">
        <v>4352</v>
      </c>
      <c r="B1778" s="323" t="s">
        <v>0</v>
      </c>
      <c r="D1778" s="392" t="s">
        <v>2231</v>
      </c>
      <c r="E1778" s="387">
        <v>351500</v>
      </c>
      <c r="F1778" s="594" t="s">
        <v>4359</v>
      </c>
      <c r="G1778" s="578">
        <v>-54.71</v>
      </c>
      <c r="H1778" s="594">
        <v>3510379</v>
      </c>
      <c r="I1778" s="328"/>
      <c r="J1778" s="323" t="s">
        <v>4357</v>
      </c>
    </row>
    <row r="1779" spans="1:10" x14ac:dyDescent="0.25">
      <c r="A1779" s="321" t="s">
        <v>4352</v>
      </c>
      <c r="B1779" s="323" t="s">
        <v>0</v>
      </c>
      <c r="D1779" s="392" t="s">
        <v>2231</v>
      </c>
      <c r="E1779" s="387">
        <v>351500</v>
      </c>
      <c r="F1779" s="594" t="s">
        <v>4359</v>
      </c>
      <c r="G1779" s="578">
        <v>54.71</v>
      </c>
      <c r="H1779" s="594">
        <v>3510379</v>
      </c>
      <c r="I1779" s="328"/>
      <c r="J1779" s="323" t="s">
        <v>4356</v>
      </c>
    </row>
    <row r="1780" spans="1:10" x14ac:dyDescent="0.25">
      <c r="A1780" s="321" t="s">
        <v>4352</v>
      </c>
      <c r="B1780" s="323" t="s">
        <v>0</v>
      </c>
      <c r="D1780" s="392" t="s">
        <v>4368</v>
      </c>
      <c r="E1780" s="387">
        <v>226248</v>
      </c>
      <c r="F1780" s="594" t="s">
        <v>4371</v>
      </c>
      <c r="G1780" s="578">
        <v>91.95</v>
      </c>
      <c r="H1780" s="594">
        <v>5501245</v>
      </c>
      <c r="I1780" s="328"/>
      <c r="J1780" s="323" t="s">
        <v>4369</v>
      </c>
    </row>
    <row r="1781" spans="1:10" x14ac:dyDescent="0.25">
      <c r="A1781" s="321" t="s">
        <v>4352</v>
      </c>
      <c r="B1781" s="323" t="s">
        <v>0</v>
      </c>
      <c r="D1781" s="392" t="s">
        <v>2205</v>
      </c>
      <c r="E1781" s="387">
        <v>351647</v>
      </c>
      <c r="F1781" s="594" t="s">
        <v>4377</v>
      </c>
      <c r="G1781" s="578">
        <v>158.9</v>
      </c>
      <c r="H1781" s="594">
        <v>3510786</v>
      </c>
      <c r="I1781" s="328"/>
      <c r="J1781" s="323" t="s">
        <v>4375</v>
      </c>
    </row>
    <row r="1782" spans="1:10" x14ac:dyDescent="0.25">
      <c r="A1782" s="321" t="s">
        <v>4352</v>
      </c>
      <c r="B1782" s="323" t="s">
        <v>0</v>
      </c>
      <c r="D1782" s="392" t="s">
        <v>1405</v>
      </c>
      <c r="E1782" s="387">
        <v>350352</v>
      </c>
      <c r="F1782" s="594" t="s">
        <v>4373</v>
      </c>
      <c r="G1782" s="578">
        <v>33.96</v>
      </c>
      <c r="H1782" s="594"/>
      <c r="I1782" s="328"/>
      <c r="J1782" s="323" t="s">
        <v>4372</v>
      </c>
    </row>
    <row r="1783" spans="1:10" x14ac:dyDescent="0.25">
      <c r="A1783" s="321" t="s">
        <v>4352</v>
      </c>
      <c r="B1783" s="323" t="s">
        <v>0</v>
      </c>
      <c r="D1783" s="392" t="s">
        <v>1405</v>
      </c>
      <c r="E1783" s="387">
        <v>350352</v>
      </c>
      <c r="F1783" s="594" t="s">
        <v>4373</v>
      </c>
      <c r="G1783" s="578">
        <v>65.41</v>
      </c>
      <c r="H1783" s="594"/>
      <c r="I1783" s="328"/>
      <c r="J1783" s="323" t="s">
        <v>4372</v>
      </c>
    </row>
    <row r="1784" spans="1:10" x14ac:dyDescent="0.25">
      <c r="A1784" s="321">
        <v>42954</v>
      </c>
      <c r="B1784" s="323" t="s">
        <v>127</v>
      </c>
      <c r="D1784" s="392" t="s">
        <v>2130</v>
      </c>
      <c r="E1784" s="387">
        <v>214122</v>
      </c>
      <c r="F1784" s="594"/>
      <c r="G1784" s="578">
        <f>10+57.2</f>
        <v>67.2</v>
      </c>
      <c r="H1784" s="594">
        <v>3468957</v>
      </c>
      <c r="I1784" s="328"/>
      <c r="J1784" s="323" t="s">
        <v>179</v>
      </c>
    </row>
    <row r="1785" spans="1:10" x14ac:dyDescent="0.25">
      <c r="A1785" s="321">
        <v>42958</v>
      </c>
      <c r="B1785" s="323" t="s">
        <v>127</v>
      </c>
      <c r="D1785" s="392" t="s">
        <v>2130</v>
      </c>
      <c r="E1785" s="387">
        <v>214122</v>
      </c>
      <c r="F1785" s="594"/>
      <c r="G1785" s="578">
        <f>2.5+53.45</f>
        <v>55.95</v>
      </c>
      <c r="H1785" s="594">
        <v>3512152</v>
      </c>
      <c r="I1785" s="328"/>
      <c r="J1785" s="323" t="s">
        <v>179</v>
      </c>
    </row>
    <row r="1786" spans="1:10" x14ac:dyDescent="0.25">
      <c r="A1786" s="321">
        <v>42956</v>
      </c>
      <c r="B1786" s="323" t="s">
        <v>127</v>
      </c>
      <c r="C1786" s="323" t="s">
        <v>4551</v>
      </c>
      <c r="D1786" s="392" t="s">
        <v>4380</v>
      </c>
      <c r="E1786" s="387">
        <v>101209</v>
      </c>
      <c r="F1786" s="594"/>
      <c r="G1786" s="578">
        <f>22.72+34</f>
        <v>56.72</v>
      </c>
      <c r="H1786" s="594">
        <v>3496465</v>
      </c>
      <c r="I1786" s="328"/>
      <c r="J1786" s="323" t="s">
        <v>179</v>
      </c>
    </row>
    <row r="1787" spans="1:10" x14ac:dyDescent="0.25">
      <c r="A1787" s="321">
        <v>42954</v>
      </c>
      <c r="B1787" s="323" t="s">
        <v>127</v>
      </c>
      <c r="D1787" s="392" t="s">
        <v>2950</v>
      </c>
      <c r="E1787" s="387">
        <v>213393</v>
      </c>
      <c r="F1787" s="594"/>
      <c r="G1787" s="578">
        <f>32.15+4.9</f>
        <v>37.049999999999997</v>
      </c>
      <c r="H1787" s="594">
        <v>3484309</v>
      </c>
      <c r="I1787" s="328"/>
      <c r="J1787" s="323" t="s">
        <v>179</v>
      </c>
    </row>
    <row r="1788" spans="1:10" s="11" customFormat="1" x14ac:dyDescent="0.25">
      <c r="A1788" s="321" t="s">
        <v>4386</v>
      </c>
      <c r="B1788" s="323" t="s">
        <v>121</v>
      </c>
      <c r="C1788" s="323" t="s">
        <v>2688</v>
      </c>
      <c r="D1788" s="392" t="s">
        <v>3455</v>
      </c>
      <c r="E1788" s="387">
        <v>351461</v>
      </c>
      <c r="F1788" s="594">
        <v>501740</v>
      </c>
      <c r="G1788" s="578">
        <v>-148.69999999999999</v>
      </c>
      <c r="H1788" s="594">
        <v>3501740</v>
      </c>
      <c r="I1788" s="328"/>
      <c r="J1788" s="323" t="s">
        <v>4392</v>
      </c>
    </row>
    <row r="1789" spans="1:10" s="11" customFormat="1" x14ac:dyDescent="0.25">
      <c r="A1789" s="321" t="s">
        <v>4386</v>
      </c>
      <c r="B1789" s="323" t="s">
        <v>121</v>
      </c>
      <c r="C1789" s="323" t="s">
        <v>238</v>
      </c>
      <c r="D1789" s="392" t="s">
        <v>4387</v>
      </c>
      <c r="E1789" s="387">
        <v>351281</v>
      </c>
      <c r="F1789" s="594">
        <v>533128</v>
      </c>
      <c r="G1789" s="578">
        <v>21.65</v>
      </c>
      <c r="H1789" s="594">
        <v>3533128</v>
      </c>
      <c r="I1789" s="328"/>
      <c r="J1789" s="323" t="s">
        <v>6</v>
      </c>
    </row>
    <row r="1790" spans="1:10" s="11" customFormat="1" x14ac:dyDescent="0.25">
      <c r="A1790" s="321" t="s">
        <v>4386</v>
      </c>
      <c r="B1790" s="323" t="s">
        <v>121</v>
      </c>
      <c r="C1790" s="323" t="s">
        <v>238</v>
      </c>
      <c r="D1790" s="392">
        <v>376267465999</v>
      </c>
      <c r="E1790" s="387">
        <v>350605</v>
      </c>
      <c r="F1790" s="594">
        <v>516372</v>
      </c>
      <c r="G1790" s="578">
        <v>39.86</v>
      </c>
      <c r="H1790" s="594">
        <v>3516372</v>
      </c>
      <c r="I1790" s="328"/>
      <c r="J1790" s="323" t="s">
        <v>6</v>
      </c>
    </row>
    <row r="1791" spans="1:10" s="11" customFormat="1" x14ac:dyDescent="0.25">
      <c r="A1791" s="321" t="s">
        <v>4386</v>
      </c>
      <c r="B1791" s="323" t="s">
        <v>121</v>
      </c>
      <c r="C1791" s="323" t="s">
        <v>2689</v>
      </c>
      <c r="D1791" s="392" t="s">
        <v>4388</v>
      </c>
      <c r="E1791" s="387">
        <v>211590</v>
      </c>
      <c r="F1791" s="594">
        <v>542778</v>
      </c>
      <c r="G1791" s="578">
        <v>39.950000000000003</v>
      </c>
      <c r="H1791" s="594">
        <v>3542778</v>
      </c>
      <c r="I1791" s="328"/>
      <c r="J1791" s="323" t="s">
        <v>6</v>
      </c>
    </row>
    <row r="1792" spans="1:10" s="11" customFormat="1" x14ac:dyDescent="0.25">
      <c r="A1792" s="321" t="s">
        <v>4386</v>
      </c>
      <c r="B1792" s="323" t="s">
        <v>121</v>
      </c>
      <c r="C1792" s="323" t="s">
        <v>2689</v>
      </c>
      <c r="D1792" s="392" t="s">
        <v>2228</v>
      </c>
      <c r="E1792" s="387">
        <v>215795</v>
      </c>
      <c r="F1792" s="594">
        <v>533303</v>
      </c>
      <c r="G1792" s="578">
        <v>47.65</v>
      </c>
      <c r="H1792" s="594">
        <v>3533303</v>
      </c>
      <c r="I1792" s="328"/>
      <c r="J1792" s="323" t="s">
        <v>6</v>
      </c>
    </row>
    <row r="1793" spans="1:10" s="11" customFormat="1" x14ac:dyDescent="0.25">
      <c r="A1793" s="321" t="s">
        <v>4386</v>
      </c>
      <c r="B1793" s="323" t="s">
        <v>121</v>
      </c>
      <c r="C1793" s="323"/>
      <c r="D1793" s="392" t="s">
        <v>4389</v>
      </c>
      <c r="E1793" s="387">
        <v>217774</v>
      </c>
      <c r="F1793" s="594">
        <v>528755</v>
      </c>
      <c r="G1793" s="578">
        <v>66.900000000000006</v>
      </c>
      <c r="H1793" s="594">
        <v>3528755</v>
      </c>
      <c r="I1793" s="328"/>
      <c r="J1793" s="323" t="s">
        <v>6</v>
      </c>
    </row>
    <row r="1794" spans="1:10" s="11" customFormat="1" x14ac:dyDescent="0.25">
      <c r="A1794" s="321" t="s">
        <v>4386</v>
      </c>
      <c r="B1794" s="323" t="s">
        <v>121</v>
      </c>
      <c r="C1794" s="323" t="s">
        <v>238</v>
      </c>
      <c r="D1794" s="392" t="s">
        <v>1565</v>
      </c>
      <c r="E1794" s="387">
        <v>352342</v>
      </c>
      <c r="F1794" s="594">
        <v>531730</v>
      </c>
      <c r="G1794" s="578">
        <v>76.989999999999995</v>
      </c>
      <c r="H1794" s="594">
        <v>3531730</v>
      </c>
      <c r="I1794" s="328"/>
      <c r="J1794" s="323" t="s">
        <v>6</v>
      </c>
    </row>
    <row r="1795" spans="1:10" s="11" customFormat="1" x14ac:dyDescent="0.25">
      <c r="A1795" s="321" t="s">
        <v>4386</v>
      </c>
      <c r="B1795" s="323" t="s">
        <v>121</v>
      </c>
      <c r="C1795" s="323" t="s">
        <v>238</v>
      </c>
      <c r="D1795" s="392" t="s">
        <v>1454</v>
      </c>
      <c r="E1795" s="387">
        <v>350381</v>
      </c>
      <c r="F1795" s="594">
        <v>538954</v>
      </c>
      <c r="G1795" s="578">
        <v>81.27</v>
      </c>
      <c r="H1795" s="594">
        <v>3538954</v>
      </c>
      <c r="I1795" s="328"/>
      <c r="J1795" s="323" t="s">
        <v>6</v>
      </c>
    </row>
    <row r="1796" spans="1:10" s="11" customFormat="1" x14ac:dyDescent="0.25">
      <c r="A1796" s="321" t="s">
        <v>4386</v>
      </c>
      <c r="B1796" s="323" t="s">
        <v>121</v>
      </c>
      <c r="C1796" s="323" t="s">
        <v>238</v>
      </c>
      <c r="D1796" s="392" t="s">
        <v>4390</v>
      </c>
      <c r="E1796" s="387">
        <v>213602</v>
      </c>
      <c r="F1796" s="594">
        <v>530118</v>
      </c>
      <c r="G1796" s="578">
        <v>84.63</v>
      </c>
      <c r="H1796" s="594">
        <v>3530118</v>
      </c>
      <c r="I1796" s="328"/>
      <c r="J1796" s="323" t="s">
        <v>6</v>
      </c>
    </row>
    <row r="1797" spans="1:10" s="11" customFormat="1" x14ac:dyDescent="0.25">
      <c r="A1797" s="321" t="s">
        <v>4386</v>
      </c>
      <c r="B1797" s="323" t="s">
        <v>121</v>
      </c>
      <c r="C1797" s="323" t="s">
        <v>238</v>
      </c>
      <c r="D1797" s="392" t="s">
        <v>1442</v>
      </c>
      <c r="E1797" s="387">
        <v>223340</v>
      </c>
      <c r="F1797" s="594">
        <v>531786</v>
      </c>
      <c r="G1797" s="578">
        <v>94.95</v>
      </c>
      <c r="H1797" s="594">
        <v>3531786</v>
      </c>
      <c r="I1797" s="328"/>
      <c r="J1797" s="323" t="s">
        <v>6</v>
      </c>
    </row>
    <row r="1798" spans="1:10" s="11" customFormat="1" x14ac:dyDescent="0.25">
      <c r="A1798" s="321" t="s">
        <v>4386</v>
      </c>
      <c r="B1798" s="323" t="s">
        <v>121</v>
      </c>
      <c r="C1798" s="323" t="s">
        <v>238</v>
      </c>
      <c r="D1798" s="392" t="s">
        <v>2074</v>
      </c>
      <c r="E1798" s="387">
        <v>350437</v>
      </c>
      <c r="F1798" s="594">
        <v>513771</v>
      </c>
      <c r="G1798" s="578">
        <v>46.95</v>
      </c>
      <c r="H1798" s="594">
        <v>3513771</v>
      </c>
      <c r="I1798" s="328"/>
      <c r="J1798" s="323" t="s">
        <v>6</v>
      </c>
    </row>
    <row r="1799" spans="1:10" s="11" customFormat="1" x14ac:dyDescent="0.25">
      <c r="A1799" s="321" t="s">
        <v>4386</v>
      </c>
      <c r="B1799" s="323" t="s">
        <v>121</v>
      </c>
      <c r="C1799" s="323" t="s">
        <v>238</v>
      </c>
      <c r="D1799" s="392" t="s">
        <v>4391</v>
      </c>
      <c r="E1799" s="387">
        <v>352345</v>
      </c>
      <c r="F1799" s="594">
        <v>537618</v>
      </c>
      <c r="G1799" s="578">
        <v>271.26</v>
      </c>
      <c r="H1799" s="594">
        <v>3537618</v>
      </c>
      <c r="I1799" s="328"/>
      <c r="J1799" s="323" t="s">
        <v>6</v>
      </c>
    </row>
    <row r="1800" spans="1:10" s="11" customFormat="1" x14ac:dyDescent="0.25">
      <c r="A1800" s="321" t="s">
        <v>4386</v>
      </c>
      <c r="B1800" s="323" t="s">
        <v>121</v>
      </c>
      <c r="C1800" s="323" t="s">
        <v>238</v>
      </c>
      <c r="D1800" s="392" t="s">
        <v>2131</v>
      </c>
      <c r="E1800" s="387">
        <v>351829</v>
      </c>
      <c r="F1800" s="594"/>
      <c r="G1800" s="578">
        <v>38.950000000000003</v>
      </c>
      <c r="H1800" s="594">
        <v>3536043</v>
      </c>
      <c r="I1800" s="328"/>
      <c r="J1800" s="323" t="s">
        <v>4393</v>
      </c>
    </row>
    <row r="1801" spans="1:10" s="12" customFormat="1" x14ac:dyDescent="0.25">
      <c r="A1801" s="321">
        <v>42962</v>
      </c>
      <c r="B1801" s="323" t="s">
        <v>127</v>
      </c>
      <c r="C1801" s="323"/>
      <c r="D1801" s="392">
        <v>376212020998</v>
      </c>
      <c r="E1801" s="387">
        <v>211549</v>
      </c>
      <c r="F1801" s="594"/>
      <c r="G1801" s="578">
        <f>11.77+139.13</f>
        <v>150.9</v>
      </c>
      <c r="H1801" s="594">
        <v>3523934</v>
      </c>
      <c r="I1801" s="597"/>
      <c r="J1801" s="323" t="s">
        <v>179</v>
      </c>
    </row>
    <row r="1802" spans="1:10" x14ac:dyDescent="0.25">
      <c r="A1802" s="321" t="s">
        <v>4394</v>
      </c>
      <c r="B1802" s="323" t="s">
        <v>121</v>
      </c>
      <c r="C1802" s="323" t="s">
        <v>2688</v>
      </c>
      <c r="D1802" s="392" t="s">
        <v>4388</v>
      </c>
      <c r="E1802" s="387">
        <v>211590</v>
      </c>
      <c r="F1802" s="594" t="s">
        <v>4396</v>
      </c>
      <c r="G1802" s="578">
        <v>-39.950000000000003</v>
      </c>
      <c r="H1802" s="594">
        <v>3542778</v>
      </c>
      <c r="I1802" s="328"/>
      <c r="J1802" s="323" t="s">
        <v>4395</v>
      </c>
    </row>
    <row r="1803" spans="1:10" x14ac:dyDescent="0.25">
      <c r="A1803" s="321" t="s">
        <v>4394</v>
      </c>
      <c r="B1803" s="323" t="s">
        <v>121</v>
      </c>
      <c r="C1803" s="323" t="s">
        <v>2688</v>
      </c>
      <c r="D1803" s="392" t="s">
        <v>4367</v>
      </c>
      <c r="E1803" s="387">
        <v>351831</v>
      </c>
      <c r="F1803" s="594" t="s">
        <v>4398</v>
      </c>
      <c r="G1803" s="578">
        <v>-61.03</v>
      </c>
      <c r="H1803" s="594">
        <v>3510292</v>
      </c>
      <c r="I1803" s="328"/>
      <c r="J1803" s="323" t="s">
        <v>4397</v>
      </c>
    </row>
    <row r="1804" spans="1:10" x14ac:dyDescent="0.25">
      <c r="A1804" s="321" t="s">
        <v>4394</v>
      </c>
      <c r="B1804" s="323" t="s">
        <v>121</v>
      </c>
      <c r="C1804" s="323" t="s">
        <v>238</v>
      </c>
      <c r="D1804" s="392" t="s">
        <v>4447</v>
      </c>
      <c r="E1804" s="387">
        <v>352297</v>
      </c>
      <c r="F1804" s="594" t="s">
        <v>4451</v>
      </c>
      <c r="G1804" s="578">
        <v>56.35</v>
      </c>
      <c r="H1804" s="594">
        <v>3475363</v>
      </c>
      <c r="I1804" s="597"/>
      <c r="J1804" s="323" t="s">
        <v>4446</v>
      </c>
    </row>
    <row r="1805" spans="1:10" x14ac:dyDescent="0.25">
      <c r="A1805" s="321" t="s">
        <v>4394</v>
      </c>
      <c r="B1805" s="323" t="s">
        <v>121</v>
      </c>
      <c r="C1805" s="323" t="s">
        <v>238</v>
      </c>
      <c r="D1805" s="392" t="s">
        <v>2943</v>
      </c>
      <c r="E1805" s="387">
        <v>352448</v>
      </c>
      <c r="F1805" s="594" t="s">
        <v>4453</v>
      </c>
      <c r="G1805" s="578">
        <v>57.65</v>
      </c>
      <c r="H1805" s="594">
        <v>3537020</v>
      </c>
      <c r="I1805" s="597"/>
      <c r="J1805" s="323" t="s">
        <v>4452</v>
      </c>
    </row>
    <row r="1806" spans="1:10" x14ac:dyDescent="0.25">
      <c r="A1806" s="321" t="s">
        <v>4394</v>
      </c>
      <c r="B1806" s="323" t="s">
        <v>121</v>
      </c>
      <c r="C1806" s="323" t="s">
        <v>238</v>
      </c>
      <c r="D1806" s="392" t="s">
        <v>4462</v>
      </c>
      <c r="E1806" s="387">
        <v>351100</v>
      </c>
      <c r="F1806" s="594" t="s">
        <v>4492</v>
      </c>
      <c r="G1806" s="578">
        <v>63.03</v>
      </c>
      <c r="H1806" s="594">
        <v>3545467</v>
      </c>
      <c r="I1806" s="597"/>
      <c r="J1806" s="323" t="s">
        <v>4460</v>
      </c>
    </row>
    <row r="1807" spans="1:10" x14ac:dyDescent="0.25">
      <c r="A1807" s="321" t="s">
        <v>4394</v>
      </c>
      <c r="B1807" s="323" t="s">
        <v>121</v>
      </c>
      <c r="C1807" s="323" t="s">
        <v>238</v>
      </c>
      <c r="D1807" s="392" t="s">
        <v>1930</v>
      </c>
      <c r="E1807" s="387">
        <v>353065</v>
      </c>
      <c r="F1807" s="594" t="s">
        <v>4410</v>
      </c>
      <c r="G1807" s="578">
        <v>28.95</v>
      </c>
      <c r="H1807" s="594">
        <v>3559326</v>
      </c>
      <c r="I1807" s="597"/>
      <c r="J1807" s="323" t="s">
        <v>4409</v>
      </c>
    </row>
    <row r="1808" spans="1:10" x14ac:dyDescent="0.25">
      <c r="A1808" s="321" t="s">
        <v>4394</v>
      </c>
      <c r="B1808" s="323" t="s">
        <v>121</v>
      </c>
      <c r="C1808" s="323" t="s">
        <v>238</v>
      </c>
      <c r="D1808" s="392" t="s">
        <v>1493</v>
      </c>
      <c r="E1808" s="387">
        <v>350493</v>
      </c>
      <c r="F1808" s="594" t="s">
        <v>4407</v>
      </c>
      <c r="G1808" s="578">
        <v>25.25</v>
      </c>
      <c r="H1808" s="594">
        <v>3559726</v>
      </c>
      <c r="I1808" s="597"/>
      <c r="J1808" s="323" t="s">
        <v>4404</v>
      </c>
    </row>
    <row r="1809" spans="1:10" x14ac:dyDescent="0.25">
      <c r="A1809" s="321" t="s">
        <v>4394</v>
      </c>
      <c r="B1809" s="323" t="s">
        <v>121</v>
      </c>
      <c r="C1809" s="323" t="s">
        <v>238</v>
      </c>
      <c r="D1809" s="392" t="s">
        <v>4414</v>
      </c>
      <c r="E1809" s="387">
        <v>222088</v>
      </c>
      <c r="F1809" s="594" t="s">
        <v>4416</v>
      </c>
      <c r="G1809" s="578">
        <v>30.65</v>
      </c>
      <c r="H1809" s="594">
        <v>3559854</v>
      </c>
      <c r="I1809" s="597"/>
      <c r="J1809" s="323" t="s">
        <v>4411</v>
      </c>
    </row>
    <row r="1810" spans="1:10" x14ac:dyDescent="0.25">
      <c r="A1810" s="321" t="s">
        <v>4394</v>
      </c>
      <c r="B1810" s="323" t="s">
        <v>121</v>
      </c>
      <c r="C1810" s="323" t="s">
        <v>238</v>
      </c>
      <c r="D1810" s="392" t="s">
        <v>2184</v>
      </c>
      <c r="E1810" s="387">
        <v>352825</v>
      </c>
      <c r="F1810" s="594" t="s">
        <v>4522</v>
      </c>
      <c r="G1810" s="578">
        <v>107.01</v>
      </c>
      <c r="H1810" s="594">
        <v>3559889</v>
      </c>
      <c r="I1810" s="597"/>
      <c r="J1810" s="323" t="s">
        <v>4516</v>
      </c>
    </row>
    <row r="1811" spans="1:10" x14ac:dyDescent="0.25">
      <c r="A1811" s="321" t="s">
        <v>4394</v>
      </c>
      <c r="B1811" s="323" t="s">
        <v>121</v>
      </c>
      <c r="C1811" s="323" t="s">
        <v>238</v>
      </c>
      <c r="D1811" s="392" t="s">
        <v>4533</v>
      </c>
      <c r="E1811" s="387">
        <v>351792</v>
      </c>
      <c r="F1811" s="594" t="s">
        <v>4534</v>
      </c>
      <c r="G1811" s="578">
        <v>144.69999999999999</v>
      </c>
      <c r="H1811" s="594">
        <v>3560302</v>
      </c>
      <c r="I1811" s="597"/>
      <c r="J1811" s="323" t="s">
        <v>4532</v>
      </c>
    </row>
    <row r="1812" spans="1:10" x14ac:dyDescent="0.25">
      <c r="A1812" s="321" t="s">
        <v>4394</v>
      </c>
      <c r="B1812" s="323" t="s">
        <v>121</v>
      </c>
      <c r="C1812" s="323" t="s">
        <v>238</v>
      </c>
      <c r="D1812" s="392" t="s">
        <v>1902</v>
      </c>
      <c r="E1812" s="387">
        <v>351128</v>
      </c>
      <c r="F1812" s="594" t="s">
        <v>4543</v>
      </c>
      <c r="G1812" s="578">
        <v>186.9</v>
      </c>
      <c r="H1812" s="594">
        <v>3561428</v>
      </c>
      <c r="I1812" s="597"/>
      <c r="J1812" s="323" t="s">
        <v>4540</v>
      </c>
    </row>
    <row r="1813" spans="1:10" x14ac:dyDescent="0.25">
      <c r="A1813" s="321" t="s">
        <v>4394</v>
      </c>
      <c r="B1813" s="323" t="s">
        <v>121</v>
      </c>
      <c r="C1813" s="323" t="s">
        <v>238</v>
      </c>
      <c r="D1813" s="392" t="s">
        <v>1291</v>
      </c>
      <c r="E1813" s="387">
        <v>351726</v>
      </c>
      <c r="F1813" s="594" t="s">
        <v>4424</v>
      </c>
      <c r="G1813" s="578">
        <v>40.19</v>
      </c>
      <c r="H1813" s="594">
        <v>3562717</v>
      </c>
      <c r="I1813" s="597"/>
      <c r="J1813" s="323" t="s">
        <v>4421</v>
      </c>
    </row>
    <row r="1814" spans="1:10" x14ac:dyDescent="0.25">
      <c r="A1814" s="321" t="s">
        <v>4394</v>
      </c>
      <c r="B1814" s="323" t="s">
        <v>121</v>
      </c>
      <c r="C1814" s="323" t="s">
        <v>2689</v>
      </c>
      <c r="D1814" s="392" t="s">
        <v>2320</v>
      </c>
      <c r="E1814" s="387">
        <v>351288</v>
      </c>
      <c r="F1814" s="594" t="s">
        <v>4498</v>
      </c>
      <c r="G1814" s="578">
        <v>69.09</v>
      </c>
      <c r="H1814" s="594">
        <v>3565446</v>
      </c>
      <c r="I1814" s="597"/>
      <c r="J1814" s="323" t="s">
        <v>4479</v>
      </c>
    </row>
    <row r="1815" spans="1:10" x14ac:dyDescent="0.25">
      <c r="A1815" s="321" t="s">
        <v>4394</v>
      </c>
      <c r="B1815" s="323" t="s">
        <v>121</v>
      </c>
      <c r="C1815" s="323" t="s">
        <v>238</v>
      </c>
      <c r="D1815" s="392" t="s">
        <v>4469</v>
      </c>
      <c r="E1815" s="387">
        <v>351928</v>
      </c>
      <c r="F1815" s="594" t="s">
        <v>4502</v>
      </c>
      <c r="G1815" s="578">
        <v>72.95</v>
      </c>
      <c r="H1815" s="594">
        <v>3566240</v>
      </c>
      <c r="I1815" s="597"/>
      <c r="J1815" s="323" t="s">
        <v>4483</v>
      </c>
    </row>
    <row r="1816" spans="1:10" x14ac:dyDescent="0.25">
      <c r="A1816" s="321" t="s">
        <v>4394</v>
      </c>
      <c r="B1816" s="323" t="s">
        <v>121</v>
      </c>
      <c r="C1816" s="323" t="s">
        <v>238</v>
      </c>
      <c r="D1816" s="392" t="s">
        <v>3455</v>
      </c>
      <c r="E1816" s="387">
        <v>351461</v>
      </c>
      <c r="F1816" s="594" t="s">
        <v>4547</v>
      </c>
      <c r="G1816" s="578">
        <v>131.54</v>
      </c>
      <c r="H1816" s="594">
        <v>3566584</v>
      </c>
      <c r="I1816" s="597"/>
      <c r="J1816" s="323" t="s">
        <v>4545</v>
      </c>
    </row>
    <row r="1817" spans="1:10" x14ac:dyDescent="0.25">
      <c r="A1817" s="321" t="s">
        <v>4394</v>
      </c>
      <c r="B1817" s="323" t="s">
        <v>121</v>
      </c>
      <c r="C1817" s="323" t="s">
        <v>238</v>
      </c>
      <c r="D1817" s="392" t="s">
        <v>2657</v>
      </c>
      <c r="E1817" s="387">
        <v>353049</v>
      </c>
      <c r="F1817" s="594" t="s">
        <v>4508</v>
      </c>
      <c r="G1817" s="578">
        <v>80.95</v>
      </c>
      <c r="H1817" s="594">
        <v>3566666</v>
      </c>
      <c r="I1817" s="597"/>
      <c r="J1817" s="323" t="s">
        <v>4489</v>
      </c>
    </row>
    <row r="1818" spans="1:10" x14ac:dyDescent="0.25">
      <c r="A1818" s="321" t="s">
        <v>4394</v>
      </c>
      <c r="B1818" s="323" t="s">
        <v>121</v>
      </c>
      <c r="C1818" s="323" t="s">
        <v>238</v>
      </c>
      <c r="D1818" s="392" t="s">
        <v>3578</v>
      </c>
      <c r="E1818" s="387">
        <v>350771</v>
      </c>
      <c r="F1818" s="594" t="s">
        <v>4513</v>
      </c>
      <c r="G1818" s="578">
        <v>37.75</v>
      </c>
      <c r="H1818" s="594">
        <v>3566919</v>
      </c>
      <c r="I1818" s="597"/>
      <c r="J1818" s="323" t="s">
        <v>4509</v>
      </c>
    </row>
    <row r="1819" spans="1:10" x14ac:dyDescent="0.25">
      <c r="A1819" s="321" t="s">
        <v>4394</v>
      </c>
      <c r="B1819" s="323" t="s">
        <v>121</v>
      </c>
      <c r="C1819" s="323" t="s">
        <v>238</v>
      </c>
      <c r="D1819" s="392" t="s">
        <v>4422</v>
      </c>
      <c r="E1819" s="387">
        <v>352168</v>
      </c>
      <c r="F1819" s="594" t="s">
        <v>4423</v>
      </c>
      <c r="G1819" s="578">
        <v>38.65</v>
      </c>
      <c r="H1819" s="594">
        <v>3566924</v>
      </c>
      <c r="I1819" s="597"/>
      <c r="J1819" s="323" t="s">
        <v>4420</v>
      </c>
    </row>
    <row r="1820" spans="1:10" x14ac:dyDescent="0.25">
      <c r="A1820" s="321" t="s">
        <v>4394</v>
      </c>
      <c r="B1820" s="323" t="s">
        <v>121</v>
      </c>
      <c r="C1820" s="323" t="s">
        <v>238</v>
      </c>
      <c r="D1820" s="392" t="s">
        <v>4406</v>
      </c>
      <c r="E1820" s="387">
        <v>351015</v>
      </c>
      <c r="F1820" s="594" t="s">
        <v>4408</v>
      </c>
      <c r="G1820" s="578">
        <v>28.65</v>
      </c>
      <c r="H1820" s="594">
        <v>3566956</v>
      </c>
      <c r="I1820" s="597"/>
      <c r="J1820" s="323" t="s">
        <v>4405</v>
      </c>
    </row>
    <row r="1821" spans="1:10" x14ac:dyDescent="0.25">
      <c r="A1821" s="321" t="s">
        <v>4394</v>
      </c>
      <c r="B1821" s="323" t="s">
        <v>121</v>
      </c>
      <c r="C1821" s="323" t="s">
        <v>238</v>
      </c>
      <c r="D1821" s="392" t="s">
        <v>2252</v>
      </c>
      <c r="E1821" s="387">
        <v>215141</v>
      </c>
      <c r="F1821" s="594" t="s">
        <v>4441</v>
      </c>
      <c r="G1821" s="578">
        <v>47.75</v>
      </c>
      <c r="H1821" s="594">
        <v>3566960</v>
      </c>
      <c r="I1821" s="597"/>
      <c r="J1821" s="323" t="s">
        <v>4439</v>
      </c>
    </row>
    <row r="1822" spans="1:10" x14ac:dyDescent="0.25">
      <c r="A1822" s="321" t="s">
        <v>4394</v>
      </c>
      <c r="B1822" s="323" t="s">
        <v>121</v>
      </c>
      <c r="C1822" s="323" t="s">
        <v>238</v>
      </c>
      <c r="D1822" s="392" t="s">
        <v>2322</v>
      </c>
      <c r="E1822" s="387">
        <v>350451</v>
      </c>
      <c r="F1822" s="594" t="s">
        <v>4402</v>
      </c>
      <c r="G1822" s="578">
        <v>24.35</v>
      </c>
      <c r="H1822" s="594">
        <v>3566965</v>
      </c>
      <c r="I1822" s="597"/>
      <c r="J1822" s="323" t="s">
        <v>4400</v>
      </c>
    </row>
    <row r="1823" spans="1:10" x14ac:dyDescent="0.25">
      <c r="A1823" s="321" t="s">
        <v>4394</v>
      </c>
      <c r="B1823" s="323" t="s">
        <v>121</v>
      </c>
      <c r="C1823" s="323" t="s">
        <v>238</v>
      </c>
      <c r="D1823" s="392" t="s">
        <v>2728</v>
      </c>
      <c r="E1823" s="387">
        <v>350329</v>
      </c>
      <c r="F1823" s="594" t="s">
        <v>4531</v>
      </c>
      <c r="G1823" s="578">
        <v>138.74</v>
      </c>
      <c r="H1823" s="594">
        <v>3566967</v>
      </c>
      <c r="I1823" s="597"/>
      <c r="J1823" s="323" t="s">
        <v>4528</v>
      </c>
    </row>
    <row r="1824" spans="1:10" x14ac:dyDescent="0.25">
      <c r="A1824" s="321" t="s">
        <v>4394</v>
      </c>
      <c r="B1824" s="323" t="s">
        <v>121</v>
      </c>
      <c r="C1824" s="323" t="s">
        <v>238</v>
      </c>
      <c r="D1824" s="392" t="s">
        <v>1522</v>
      </c>
      <c r="E1824" s="387">
        <v>351063</v>
      </c>
      <c r="F1824" s="594" t="s">
        <v>4419</v>
      </c>
      <c r="G1824" s="578">
        <v>36.54</v>
      </c>
      <c r="H1824" s="594">
        <v>3566970</v>
      </c>
      <c r="I1824" s="597"/>
      <c r="J1824" s="323" t="s">
        <v>4418</v>
      </c>
    </row>
    <row r="1825" spans="1:10" x14ac:dyDescent="0.25">
      <c r="A1825" s="321" t="s">
        <v>4394</v>
      </c>
      <c r="B1825" s="323" t="s">
        <v>121</v>
      </c>
      <c r="C1825" s="323" t="s">
        <v>238</v>
      </c>
      <c r="D1825" s="392" t="s">
        <v>4432</v>
      </c>
      <c r="E1825" s="387">
        <v>350498</v>
      </c>
      <c r="F1825" s="594" t="s">
        <v>4435</v>
      </c>
      <c r="G1825" s="578">
        <v>44.15</v>
      </c>
      <c r="H1825" s="594">
        <v>3566978</v>
      </c>
      <c r="I1825" s="597"/>
      <c r="J1825" s="323" t="s">
        <v>4427</v>
      </c>
    </row>
    <row r="1826" spans="1:10" x14ac:dyDescent="0.25">
      <c r="A1826" s="321" t="s">
        <v>4394</v>
      </c>
      <c r="B1826" s="323" t="s">
        <v>121</v>
      </c>
      <c r="C1826" s="323" t="s">
        <v>238</v>
      </c>
      <c r="D1826" s="392" t="s">
        <v>1777</v>
      </c>
      <c r="E1826" s="387">
        <v>352537</v>
      </c>
      <c r="F1826" s="594" t="s">
        <v>4464</v>
      </c>
      <c r="G1826" s="578">
        <v>61.25</v>
      </c>
      <c r="H1826" s="594">
        <v>3566981</v>
      </c>
      <c r="I1826" s="597"/>
      <c r="J1826" s="323" t="s">
        <v>4456</v>
      </c>
    </row>
    <row r="1827" spans="1:10" x14ac:dyDescent="0.25">
      <c r="A1827" s="321" t="s">
        <v>4394</v>
      </c>
      <c r="B1827" s="323" t="s">
        <v>121</v>
      </c>
      <c r="C1827" s="323" t="s">
        <v>238</v>
      </c>
      <c r="D1827" s="392" t="s">
        <v>4415</v>
      </c>
      <c r="E1827" s="387">
        <v>351643</v>
      </c>
      <c r="F1827" s="594" t="s">
        <v>4417</v>
      </c>
      <c r="G1827" s="578">
        <v>34.25</v>
      </c>
      <c r="H1827" s="594">
        <v>3567013</v>
      </c>
      <c r="I1827" s="597"/>
      <c r="J1827" s="323" t="s">
        <v>4413</v>
      </c>
    </row>
    <row r="1828" spans="1:10" x14ac:dyDescent="0.25">
      <c r="A1828" s="321" t="s">
        <v>4394</v>
      </c>
      <c r="B1828" s="323" t="s">
        <v>121</v>
      </c>
      <c r="C1828" s="323" t="s">
        <v>238</v>
      </c>
      <c r="D1828" s="392" t="s">
        <v>1470</v>
      </c>
      <c r="E1828" s="387">
        <v>350586</v>
      </c>
      <c r="F1828" s="594" t="s">
        <v>4526</v>
      </c>
      <c r="G1828" s="578">
        <v>107.26</v>
      </c>
      <c r="H1828" s="594">
        <v>3567036</v>
      </c>
      <c r="I1828" s="597"/>
      <c r="J1828" s="323" t="s">
        <v>4517</v>
      </c>
    </row>
    <row r="1829" spans="1:10" x14ac:dyDescent="0.25">
      <c r="A1829" s="321" t="s">
        <v>4394</v>
      </c>
      <c r="B1829" s="323" t="s">
        <v>121</v>
      </c>
      <c r="C1829" s="323" t="s">
        <v>238</v>
      </c>
      <c r="D1829" s="392" t="s">
        <v>2349</v>
      </c>
      <c r="E1829" s="387">
        <v>213128</v>
      </c>
      <c r="F1829" s="594" t="s">
        <v>4449</v>
      </c>
      <c r="G1829" s="578">
        <v>55.85</v>
      </c>
      <c r="H1829" s="594">
        <v>3567043</v>
      </c>
      <c r="I1829" s="597"/>
      <c r="J1829" s="323" t="s">
        <v>4444</v>
      </c>
    </row>
    <row r="1830" spans="1:10" x14ac:dyDescent="0.25">
      <c r="A1830" s="321" t="s">
        <v>4394</v>
      </c>
      <c r="B1830" s="323" t="s">
        <v>121</v>
      </c>
      <c r="C1830" s="323" t="s">
        <v>238</v>
      </c>
      <c r="D1830" s="392" t="s">
        <v>4474</v>
      </c>
      <c r="E1830" s="387">
        <v>352075</v>
      </c>
      <c r="F1830" s="594" t="s">
        <v>4507</v>
      </c>
      <c r="G1830" s="578">
        <v>79.709999999999994</v>
      </c>
      <c r="H1830" s="594">
        <v>3567057</v>
      </c>
      <c r="I1830" s="597"/>
      <c r="J1830" s="323" t="s">
        <v>4488</v>
      </c>
    </row>
    <row r="1831" spans="1:10" x14ac:dyDescent="0.25">
      <c r="A1831" s="321" t="s">
        <v>4394</v>
      </c>
      <c r="B1831" s="323" t="s">
        <v>121</v>
      </c>
      <c r="C1831" s="323" t="s">
        <v>238</v>
      </c>
      <c r="D1831" s="392" t="s">
        <v>2151</v>
      </c>
      <c r="E1831" s="387">
        <v>213229</v>
      </c>
      <c r="F1831" s="594" t="s">
        <v>4499</v>
      </c>
      <c r="G1831" s="578">
        <v>71.650000000000006</v>
      </c>
      <c r="H1831" s="594">
        <v>3567066</v>
      </c>
      <c r="I1831" s="597"/>
      <c r="J1831" s="323" t="s">
        <v>4480</v>
      </c>
    </row>
    <row r="1832" spans="1:10" x14ac:dyDescent="0.25">
      <c r="A1832" s="321" t="s">
        <v>4394</v>
      </c>
      <c r="B1832" s="323" t="s">
        <v>121</v>
      </c>
      <c r="C1832" s="323" t="s">
        <v>238</v>
      </c>
      <c r="D1832" s="392" t="s">
        <v>4521</v>
      </c>
      <c r="E1832" s="387">
        <v>350287</v>
      </c>
      <c r="F1832" s="594" t="s">
        <v>4524</v>
      </c>
      <c r="G1832" s="578">
        <v>112.45</v>
      </c>
      <c r="H1832" s="594">
        <v>3567089</v>
      </c>
      <c r="I1832" s="597"/>
      <c r="J1832" s="323" t="s">
        <v>4519</v>
      </c>
    </row>
    <row r="1833" spans="1:10" x14ac:dyDescent="0.25">
      <c r="A1833" s="321" t="s">
        <v>4394</v>
      </c>
      <c r="B1833" s="323" t="s">
        <v>121</v>
      </c>
      <c r="C1833" s="323" t="s">
        <v>238</v>
      </c>
      <c r="D1833" s="392" t="s">
        <v>4471</v>
      </c>
      <c r="E1833" s="387">
        <v>352912</v>
      </c>
      <c r="F1833" s="594" t="s">
        <v>4504</v>
      </c>
      <c r="G1833" s="578">
        <v>77.95</v>
      </c>
      <c r="H1833" s="594">
        <v>3567095</v>
      </c>
      <c r="I1833" s="597"/>
      <c r="J1833" s="323" t="s">
        <v>4485</v>
      </c>
    </row>
    <row r="1834" spans="1:10" x14ac:dyDescent="0.25">
      <c r="A1834" s="321" t="s">
        <v>4394</v>
      </c>
      <c r="B1834" s="323" t="s">
        <v>121</v>
      </c>
      <c r="C1834" s="323" t="s">
        <v>238</v>
      </c>
      <c r="D1834" s="392" t="s">
        <v>4468</v>
      </c>
      <c r="E1834" s="387">
        <v>351230</v>
      </c>
      <c r="F1834" s="594" t="s">
        <v>4501</v>
      </c>
      <c r="G1834" s="578">
        <v>72.709999999999994</v>
      </c>
      <c r="H1834" s="594">
        <v>3567098</v>
      </c>
      <c r="I1834" s="597"/>
      <c r="J1834" s="323" t="s">
        <v>4482</v>
      </c>
    </row>
    <row r="1835" spans="1:10" x14ac:dyDescent="0.25">
      <c r="A1835" s="321" t="s">
        <v>4394</v>
      </c>
      <c r="B1835" s="323" t="s">
        <v>121</v>
      </c>
      <c r="C1835" s="323" t="s">
        <v>238</v>
      </c>
      <c r="D1835" s="392" t="s">
        <v>1974</v>
      </c>
      <c r="E1835" s="387">
        <v>350290</v>
      </c>
      <c r="F1835" s="594" t="s">
        <v>4497</v>
      </c>
      <c r="G1835" s="578">
        <v>67.95</v>
      </c>
      <c r="H1835" s="594">
        <v>3567099</v>
      </c>
      <c r="I1835" s="597"/>
      <c r="J1835" s="323" t="s">
        <v>4478</v>
      </c>
    </row>
    <row r="1836" spans="1:10" x14ac:dyDescent="0.25">
      <c r="A1836" s="321" t="s">
        <v>4394</v>
      </c>
      <c r="B1836" s="323" t="s">
        <v>121</v>
      </c>
      <c r="C1836" s="323" t="s">
        <v>238</v>
      </c>
      <c r="D1836" s="392" t="s">
        <v>1969</v>
      </c>
      <c r="E1836" s="387">
        <v>201229</v>
      </c>
      <c r="F1836" s="594" t="s">
        <v>4552</v>
      </c>
      <c r="G1836" s="578">
        <v>30.65</v>
      </c>
      <c r="H1836" s="594">
        <v>3567368</v>
      </c>
      <c r="I1836" s="597"/>
      <c r="J1836" s="323" t="s">
        <v>4412</v>
      </c>
    </row>
    <row r="1837" spans="1:10" x14ac:dyDescent="0.25">
      <c r="A1837" s="321" t="s">
        <v>4394</v>
      </c>
      <c r="B1837" s="323" t="s">
        <v>121</v>
      </c>
      <c r="C1837" s="323" t="s">
        <v>238</v>
      </c>
      <c r="D1837" s="392" t="s">
        <v>1537</v>
      </c>
      <c r="E1837" s="387">
        <v>350358</v>
      </c>
      <c r="F1837" s="594" t="s">
        <v>4434</v>
      </c>
      <c r="G1837" s="578">
        <v>42.9</v>
      </c>
      <c r="H1837" s="594">
        <v>3567396</v>
      </c>
      <c r="I1837" s="597"/>
      <c r="J1837" s="323" t="s">
        <v>4425</v>
      </c>
    </row>
    <row r="1838" spans="1:10" x14ac:dyDescent="0.25">
      <c r="A1838" s="321" t="s">
        <v>4394</v>
      </c>
      <c r="B1838" s="323" t="s">
        <v>121</v>
      </c>
      <c r="C1838" s="323" t="s">
        <v>238</v>
      </c>
      <c r="D1838" s="392" t="s">
        <v>4473</v>
      </c>
      <c r="E1838" s="387">
        <v>353875</v>
      </c>
      <c r="F1838" s="594" t="s">
        <v>4506</v>
      </c>
      <c r="G1838" s="578">
        <v>79.3</v>
      </c>
      <c r="H1838" s="594">
        <v>3567406</v>
      </c>
      <c r="I1838" s="597"/>
      <c r="J1838" s="323" t="s">
        <v>4487</v>
      </c>
    </row>
    <row r="1839" spans="1:10" x14ac:dyDescent="0.25">
      <c r="A1839" s="321" t="s">
        <v>4394</v>
      </c>
      <c r="B1839" s="323" t="s">
        <v>121</v>
      </c>
      <c r="C1839" s="323" t="s">
        <v>2689</v>
      </c>
      <c r="D1839" s="392" t="s">
        <v>1479</v>
      </c>
      <c r="E1839" s="387">
        <v>352305</v>
      </c>
      <c r="F1839" s="594" t="s">
        <v>4490</v>
      </c>
      <c r="G1839" s="578">
        <v>62.02</v>
      </c>
      <c r="H1839" s="594">
        <v>3567630</v>
      </c>
      <c r="I1839" s="597"/>
      <c r="J1839" s="323" t="s">
        <v>4458</v>
      </c>
    </row>
    <row r="1840" spans="1:10" x14ac:dyDescent="0.25">
      <c r="A1840" s="321" t="s">
        <v>4394</v>
      </c>
      <c r="B1840" s="323" t="s">
        <v>121</v>
      </c>
      <c r="C1840" s="323" t="s">
        <v>238</v>
      </c>
      <c r="D1840" s="392" t="s">
        <v>4470</v>
      </c>
      <c r="E1840" s="387">
        <v>213226</v>
      </c>
      <c r="F1840" s="594" t="s">
        <v>4503</v>
      </c>
      <c r="G1840" s="578">
        <v>77.95</v>
      </c>
      <c r="H1840" s="594">
        <v>3567674</v>
      </c>
      <c r="I1840" s="597"/>
      <c r="J1840" s="323" t="s">
        <v>4484</v>
      </c>
    </row>
    <row r="1841" spans="1:10" x14ac:dyDescent="0.25">
      <c r="A1841" s="321" t="s">
        <v>4394</v>
      </c>
      <c r="B1841" s="323" t="s">
        <v>121</v>
      </c>
      <c r="C1841" s="323" t="s">
        <v>238</v>
      </c>
      <c r="D1841" s="392" t="s">
        <v>3461</v>
      </c>
      <c r="E1841" s="387">
        <v>352374</v>
      </c>
      <c r="F1841" s="594" t="s">
        <v>4455</v>
      </c>
      <c r="G1841" s="578">
        <v>58.9</v>
      </c>
      <c r="H1841" s="594">
        <v>3567766</v>
      </c>
      <c r="I1841" s="597"/>
      <c r="J1841" s="323" t="s">
        <v>4454</v>
      </c>
    </row>
    <row r="1842" spans="1:10" x14ac:dyDescent="0.25">
      <c r="A1842" s="321" t="s">
        <v>4394</v>
      </c>
      <c r="B1842" s="323" t="s">
        <v>121</v>
      </c>
      <c r="C1842" s="323" t="s">
        <v>2689</v>
      </c>
      <c r="D1842" s="392" t="s">
        <v>4512</v>
      </c>
      <c r="E1842" s="387">
        <v>352285</v>
      </c>
      <c r="F1842" s="594" t="s">
        <v>4515</v>
      </c>
      <c r="G1842" s="578">
        <v>98.23</v>
      </c>
      <c r="H1842" s="594">
        <v>3567841</v>
      </c>
      <c r="I1842" s="597"/>
      <c r="J1842" s="323" t="s">
        <v>4511</v>
      </c>
    </row>
    <row r="1843" spans="1:10" x14ac:dyDescent="0.25">
      <c r="A1843" s="321" t="s">
        <v>4394</v>
      </c>
      <c r="B1843" s="323" t="s">
        <v>121</v>
      </c>
      <c r="C1843" s="323" t="s">
        <v>238</v>
      </c>
      <c r="D1843" s="392" t="s">
        <v>2195</v>
      </c>
      <c r="E1843" s="387">
        <v>216348</v>
      </c>
      <c r="F1843" s="594" t="s">
        <v>4525</v>
      </c>
      <c r="G1843" s="578">
        <v>112.95</v>
      </c>
      <c r="H1843" s="594">
        <v>3567884</v>
      </c>
      <c r="I1843" s="597"/>
      <c r="J1843" s="323" t="s">
        <v>4520</v>
      </c>
    </row>
    <row r="1844" spans="1:10" x14ac:dyDescent="0.25">
      <c r="A1844" s="321" t="s">
        <v>4394</v>
      </c>
      <c r="B1844" s="323" t="s">
        <v>121</v>
      </c>
      <c r="C1844" s="323" t="s">
        <v>238</v>
      </c>
      <c r="D1844" s="392" t="s">
        <v>2111</v>
      </c>
      <c r="E1844" s="387">
        <v>352282</v>
      </c>
      <c r="F1844" s="594" t="s">
        <v>4500</v>
      </c>
      <c r="G1844" s="578">
        <v>71.75</v>
      </c>
      <c r="H1844" s="594">
        <v>3568026</v>
      </c>
      <c r="I1844" s="597"/>
      <c r="J1844" s="323" t="s">
        <v>4481</v>
      </c>
    </row>
    <row r="1845" spans="1:10" x14ac:dyDescent="0.25">
      <c r="A1845" s="321" t="s">
        <v>4394</v>
      </c>
      <c r="B1845" s="323" t="s">
        <v>121</v>
      </c>
      <c r="C1845" s="323" t="s">
        <v>238</v>
      </c>
      <c r="D1845" s="392" t="s">
        <v>3329</v>
      </c>
      <c r="E1845" s="387">
        <v>350308</v>
      </c>
      <c r="F1845" s="594" t="s">
        <v>4436</v>
      </c>
      <c r="G1845" s="578">
        <v>45.05</v>
      </c>
      <c r="H1845" s="594">
        <v>3568846</v>
      </c>
      <c r="I1845" s="597"/>
      <c r="J1845" s="323" t="s">
        <v>4428</v>
      </c>
    </row>
    <row r="1846" spans="1:10" x14ac:dyDescent="0.25">
      <c r="A1846" s="321" t="s">
        <v>4394</v>
      </c>
      <c r="B1846" s="323" t="s">
        <v>121</v>
      </c>
      <c r="C1846" s="323" t="s">
        <v>238</v>
      </c>
      <c r="D1846" s="392" t="s">
        <v>461</v>
      </c>
      <c r="E1846" s="387">
        <v>351456</v>
      </c>
      <c r="F1846" s="594" t="s">
        <v>4495</v>
      </c>
      <c r="G1846" s="578">
        <v>67.150000000000006</v>
      </c>
      <c r="H1846" s="594">
        <v>3569700</v>
      </c>
      <c r="I1846" s="597"/>
      <c r="J1846" s="323" t="s">
        <v>4476</v>
      </c>
    </row>
    <row r="1847" spans="1:10" x14ac:dyDescent="0.25">
      <c r="A1847" s="321" t="s">
        <v>4394</v>
      </c>
      <c r="B1847" s="323" t="s">
        <v>121</v>
      </c>
      <c r="C1847" s="323" t="s">
        <v>238</v>
      </c>
      <c r="D1847" s="392" t="s">
        <v>3459</v>
      </c>
      <c r="E1847" s="387">
        <v>220726</v>
      </c>
      <c r="F1847" s="594" t="s">
        <v>4437</v>
      </c>
      <c r="G1847" s="578">
        <v>45.63</v>
      </c>
      <c r="H1847" s="594">
        <v>3570105</v>
      </c>
      <c r="I1847" s="597"/>
      <c r="J1847" s="323" t="s">
        <v>4429</v>
      </c>
    </row>
    <row r="1848" spans="1:10" x14ac:dyDescent="0.25">
      <c r="A1848" s="321" t="s">
        <v>4394</v>
      </c>
      <c r="B1848" s="323" t="s">
        <v>121</v>
      </c>
      <c r="C1848" s="323" t="s">
        <v>2689</v>
      </c>
      <c r="D1848" s="392" t="s">
        <v>1671</v>
      </c>
      <c r="E1848" s="387">
        <v>214427</v>
      </c>
      <c r="F1848" s="594" t="s">
        <v>4514</v>
      </c>
      <c r="G1848" s="578">
        <v>97.95</v>
      </c>
      <c r="H1848" s="594">
        <v>3570117</v>
      </c>
      <c r="I1848" s="597"/>
      <c r="J1848" s="323" t="s">
        <v>4510</v>
      </c>
    </row>
    <row r="1849" spans="1:10" x14ac:dyDescent="0.25">
      <c r="A1849" s="321" t="s">
        <v>4394</v>
      </c>
      <c r="B1849" s="323" t="s">
        <v>121</v>
      </c>
      <c r="C1849" s="323" t="s">
        <v>238</v>
      </c>
      <c r="D1849" s="392" t="s">
        <v>4535</v>
      </c>
      <c r="E1849" s="387">
        <v>352579</v>
      </c>
      <c r="F1849" s="594" t="s">
        <v>4541</v>
      </c>
      <c r="G1849" s="578">
        <v>173.68</v>
      </c>
      <c r="H1849" s="594">
        <v>3570179</v>
      </c>
      <c r="I1849" s="597"/>
      <c r="J1849" s="323" t="s">
        <v>4537</v>
      </c>
    </row>
    <row r="1850" spans="1:10" x14ac:dyDescent="0.25">
      <c r="A1850" s="321" t="s">
        <v>4394</v>
      </c>
      <c r="B1850" s="323" t="s">
        <v>121</v>
      </c>
      <c r="C1850" s="323" t="s">
        <v>238</v>
      </c>
      <c r="D1850" s="392" t="s">
        <v>2357</v>
      </c>
      <c r="E1850" s="387">
        <v>351472</v>
      </c>
      <c r="F1850" s="594" t="s">
        <v>4438</v>
      </c>
      <c r="G1850" s="578">
        <v>45.95</v>
      </c>
      <c r="H1850" s="594">
        <v>3570226</v>
      </c>
      <c r="I1850" s="597"/>
      <c r="J1850" s="323" t="s">
        <v>4430</v>
      </c>
    </row>
    <row r="1851" spans="1:10" x14ac:dyDescent="0.25">
      <c r="A1851" s="321" t="s">
        <v>4394</v>
      </c>
      <c r="B1851" s="323" t="s">
        <v>121</v>
      </c>
      <c r="C1851" s="323" t="s">
        <v>238</v>
      </c>
      <c r="D1851" s="392" t="s">
        <v>4466</v>
      </c>
      <c r="E1851" s="387">
        <v>352118</v>
      </c>
      <c r="F1851" s="594" t="s">
        <v>4494</v>
      </c>
      <c r="G1851" s="578">
        <v>66.95</v>
      </c>
      <c r="H1851" s="594">
        <v>3570249</v>
      </c>
      <c r="I1851" s="597"/>
      <c r="J1851" s="323" t="s">
        <v>4475</v>
      </c>
    </row>
    <row r="1852" spans="1:10" x14ac:dyDescent="0.25">
      <c r="A1852" s="321" t="s">
        <v>4394</v>
      </c>
      <c r="B1852" s="323" t="s">
        <v>121</v>
      </c>
      <c r="C1852" s="323" t="s">
        <v>238</v>
      </c>
      <c r="D1852" s="392" t="s">
        <v>1481</v>
      </c>
      <c r="E1852" s="387">
        <v>351867</v>
      </c>
      <c r="F1852" s="594" t="s">
        <v>4491</v>
      </c>
      <c r="G1852" s="578">
        <v>62.8</v>
      </c>
      <c r="H1852" s="594">
        <v>3570316</v>
      </c>
      <c r="I1852" s="597"/>
      <c r="J1852" s="323" t="s">
        <v>4459</v>
      </c>
    </row>
    <row r="1853" spans="1:10" x14ac:dyDescent="0.25">
      <c r="A1853" s="321" t="s">
        <v>4394</v>
      </c>
      <c r="B1853" s="323" t="s">
        <v>121</v>
      </c>
      <c r="C1853" s="323" t="s">
        <v>238</v>
      </c>
      <c r="D1853" s="392" t="s">
        <v>3455</v>
      </c>
      <c r="E1853" s="387">
        <v>351461</v>
      </c>
      <c r="F1853" s="594" t="s">
        <v>4546</v>
      </c>
      <c r="G1853" s="578">
        <v>391.96</v>
      </c>
      <c r="H1853" s="594">
        <v>3570332</v>
      </c>
      <c r="I1853" s="597"/>
      <c r="J1853" s="323" t="s">
        <v>4545</v>
      </c>
    </row>
    <row r="1854" spans="1:10" x14ac:dyDescent="0.25">
      <c r="A1854" s="321" t="s">
        <v>4394</v>
      </c>
      <c r="B1854" s="323" t="s">
        <v>121</v>
      </c>
      <c r="C1854" s="323" t="s">
        <v>238</v>
      </c>
      <c r="D1854" s="392" t="s">
        <v>1446</v>
      </c>
      <c r="E1854" s="387">
        <v>350416</v>
      </c>
      <c r="F1854" s="594" t="s">
        <v>4523</v>
      </c>
      <c r="G1854" s="578">
        <v>110.45</v>
      </c>
      <c r="H1854" s="594">
        <v>3570409</v>
      </c>
      <c r="I1854" s="597"/>
      <c r="J1854" s="323" t="s">
        <v>4518</v>
      </c>
    </row>
    <row r="1855" spans="1:10" x14ac:dyDescent="0.25">
      <c r="A1855" s="321" t="s">
        <v>4394</v>
      </c>
      <c r="B1855" s="323" t="s">
        <v>121</v>
      </c>
      <c r="C1855" s="323" t="s">
        <v>238</v>
      </c>
      <c r="D1855" s="392" t="s">
        <v>1347</v>
      </c>
      <c r="E1855" s="387">
        <v>215863</v>
      </c>
      <c r="F1855" s="594" t="s">
        <v>4448</v>
      </c>
      <c r="G1855" s="578">
        <v>54.9</v>
      </c>
      <c r="H1855" s="594">
        <v>3570427</v>
      </c>
      <c r="I1855" s="597"/>
      <c r="J1855" s="323" t="s">
        <v>4443</v>
      </c>
    </row>
    <row r="1856" spans="1:10" x14ac:dyDescent="0.25">
      <c r="A1856" s="321" t="s">
        <v>4394</v>
      </c>
      <c r="B1856" s="323" t="s">
        <v>121</v>
      </c>
      <c r="C1856" s="323" t="s">
        <v>238</v>
      </c>
      <c r="D1856" s="392" t="s">
        <v>2110</v>
      </c>
      <c r="E1856" s="387">
        <v>352828</v>
      </c>
      <c r="F1856" s="594" t="s">
        <v>4542</v>
      </c>
      <c r="G1856" s="578">
        <v>186.9</v>
      </c>
      <c r="H1856" s="594">
        <v>3570458</v>
      </c>
      <c r="I1856" s="597"/>
      <c r="J1856" s="323" t="s">
        <v>4539</v>
      </c>
    </row>
    <row r="1857" spans="1:10" x14ac:dyDescent="0.25">
      <c r="A1857" s="321" t="s">
        <v>4394</v>
      </c>
      <c r="B1857" s="323" t="s">
        <v>121</v>
      </c>
      <c r="C1857" s="323" t="s">
        <v>238</v>
      </c>
      <c r="D1857" s="392" t="s">
        <v>2047</v>
      </c>
      <c r="E1857" s="387">
        <v>215661</v>
      </c>
      <c r="F1857" s="594" t="s">
        <v>4442</v>
      </c>
      <c r="G1857" s="578">
        <v>49.75</v>
      </c>
      <c r="H1857" s="594">
        <v>3570461</v>
      </c>
      <c r="I1857" s="597"/>
      <c r="J1857" s="323" t="s">
        <v>4440</v>
      </c>
    </row>
    <row r="1858" spans="1:10" x14ac:dyDescent="0.25">
      <c r="A1858" s="321" t="s">
        <v>4394</v>
      </c>
      <c r="B1858" s="323" t="s">
        <v>121</v>
      </c>
      <c r="C1858" s="323" t="s">
        <v>238</v>
      </c>
      <c r="D1858" s="392" t="s">
        <v>4463</v>
      </c>
      <c r="E1858" s="387">
        <v>351548</v>
      </c>
      <c r="F1858" s="594" t="s">
        <v>4493</v>
      </c>
      <c r="G1858" s="578">
        <v>63.95</v>
      </c>
      <c r="H1858" s="594">
        <v>3570544</v>
      </c>
      <c r="I1858" s="597"/>
      <c r="J1858" s="323" t="s">
        <v>4461</v>
      </c>
    </row>
    <row r="1859" spans="1:10" x14ac:dyDescent="0.25">
      <c r="A1859" s="321" t="s">
        <v>4394</v>
      </c>
      <c r="B1859" s="323" t="s">
        <v>121</v>
      </c>
      <c r="C1859" s="323" t="s">
        <v>238</v>
      </c>
      <c r="D1859" s="392" t="s">
        <v>4536</v>
      </c>
      <c r="E1859" s="387">
        <v>350095</v>
      </c>
      <c r="F1859" s="594" t="s">
        <v>4544</v>
      </c>
      <c r="G1859" s="578">
        <v>183.83</v>
      </c>
      <c r="H1859" s="594">
        <v>3571882</v>
      </c>
      <c r="I1859" s="597"/>
      <c r="J1859" s="323" t="s">
        <v>4538</v>
      </c>
    </row>
    <row r="1860" spans="1:10" x14ac:dyDescent="0.25">
      <c r="A1860" s="321" t="s">
        <v>4394</v>
      </c>
      <c r="B1860" s="323" t="s">
        <v>121</v>
      </c>
      <c r="C1860" s="323" t="s">
        <v>238</v>
      </c>
      <c r="D1860" s="392" t="s">
        <v>2337</v>
      </c>
      <c r="E1860" s="387">
        <v>352101</v>
      </c>
      <c r="F1860" s="594" t="s">
        <v>4450</v>
      </c>
      <c r="G1860" s="578">
        <v>55.99</v>
      </c>
      <c r="H1860" s="594">
        <v>3572436</v>
      </c>
      <c r="I1860" s="597"/>
      <c r="J1860" s="323" t="s">
        <v>4445</v>
      </c>
    </row>
    <row r="1861" spans="1:10" x14ac:dyDescent="0.25">
      <c r="A1861" s="321" t="s">
        <v>4394</v>
      </c>
      <c r="B1861" s="323" t="s">
        <v>121</v>
      </c>
      <c r="C1861" s="323" t="s">
        <v>238</v>
      </c>
      <c r="D1861" s="392" t="s">
        <v>4431</v>
      </c>
      <c r="E1861" s="387">
        <v>352479</v>
      </c>
      <c r="F1861" s="594" t="s">
        <v>4433</v>
      </c>
      <c r="G1861" s="578">
        <v>43.89</v>
      </c>
      <c r="H1861" s="594">
        <v>3572580</v>
      </c>
      <c r="I1861" s="597"/>
      <c r="J1861" s="323" t="s">
        <v>4426</v>
      </c>
    </row>
    <row r="1862" spans="1:10" x14ac:dyDescent="0.25">
      <c r="A1862" s="321" t="s">
        <v>4394</v>
      </c>
      <c r="B1862" s="323" t="s">
        <v>121</v>
      </c>
      <c r="C1862" s="323" t="s">
        <v>238</v>
      </c>
      <c r="D1862" s="392" t="s">
        <v>4472</v>
      </c>
      <c r="E1862" s="387">
        <v>212689</v>
      </c>
      <c r="F1862" s="594" t="s">
        <v>4505</v>
      </c>
      <c r="G1862" s="578">
        <v>78.95</v>
      </c>
      <c r="H1862" s="594">
        <v>3572906</v>
      </c>
      <c r="I1862" s="597"/>
      <c r="J1862" s="323" t="s">
        <v>4486</v>
      </c>
    </row>
    <row r="1863" spans="1:10" x14ac:dyDescent="0.25">
      <c r="A1863" s="321" t="s">
        <v>4394</v>
      </c>
      <c r="B1863" s="323" t="s">
        <v>121</v>
      </c>
      <c r="C1863" s="323" t="s">
        <v>238</v>
      </c>
      <c r="D1863" s="392" t="s">
        <v>4399</v>
      </c>
      <c r="E1863" s="387">
        <v>353028</v>
      </c>
      <c r="F1863" s="594" t="s">
        <v>4403</v>
      </c>
      <c r="G1863" s="578">
        <v>24.6</v>
      </c>
      <c r="H1863" s="594">
        <v>3573033</v>
      </c>
      <c r="I1863" s="597"/>
      <c r="J1863" s="323" t="s">
        <v>4401</v>
      </c>
    </row>
    <row r="1864" spans="1:10" x14ac:dyDescent="0.25">
      <c r="A1864" s="321" t="s">
        <v>4394</v>
      </c>
      <c r="B1864" s="323" t="s">
        <v>121</v>
      </c>
      <c r="C1864" s="323" t="s">
        <v>2689</v>
      </c>
      <c r="D1864" s="392" t="s">
        <v>4529</v>
      </c>
      <c r="E1864" s="387">
        <v>215820</v>
      </c>
      <c r="F1864" s="594" t="s">
        <v>4530</v>
      </c>
      <c r="G1864" s="578">
        <v>134.11000000000001</v>
      </c>
      <c r="H1864" s="594">
        <v>3573230</v>
      </c>
      <c r="I1864" s="597"/>
      <c r="J1864" s="323" t="s">
        <v>4527</v>
      </c>
    </row>
    <row r="1865" spans="1:10" x14ac:dyDescent="0.25">
      <c r="A1865" s="321" t="s">
        <v>4394</v>
      </c>
      <c r="B1865" s="323" t="s">
        <v>121</v>
      </c>
      <c r="C1865" s="323" t="s">
        <v>238</v>
      </c>
      <c r="D1865" s="392" t="s">
        <v>4467</v>
      </c>
      <c r="E1865" s="387">
        <v>225590</v>
      </c>
      <c r="F1865" s="594" t="s">
        <v>4496</v>
      </c>
      <c r="G1865" s="578">
        <v>67.2</v>
      </c>
      <c r="H1865" s="594">
        <v>3573314</v>
      </c>
      <c r="I1865" s="597"/>
      <c r="J1865" s="323" t="s">
        <v>4477</v>
      </c>
    </row>
    <row r="1866" spans="1:10" x14ac:dyDescent="0.25">
      <c r="A1866" s="321" t="s">
        <v>4394</v>
      </c>
      <c r="B1866" s="323" t="s">
        <v>121</v>
      </c>
      <c r="C1866" s="323" t="s">
        <v>238</v>
      </c>
      <c r="D1866" s="392" t="s">
        <v>2266</v>
      </c>
      <c r="E1866" s="387">
        <v>352633</v>
      </c>
      <c r="F1866" s="594" t="s">
        <v>4465</v>
      </c>
      <c r="G1866" s="578">
        <v>61.25</v>
      </c>
      <c r="H1866" s="594">
        <v>3573458</v>
      </c>
      <c r="I1866" s="597"/>
      <c r="J1866" s="323" t="s">
        <v>4457</v>
      </c>
    </row>
    <row r="1867" spans="1:10" x14ac:dyDescent="0.25">
      <c r="A1867" s="321" t="s">
        <v>4394</v>
      </c>
      <c r="B1867" s="323" t="s">
        <v>121</v>
      </c>
      <c r="C1867" s="323" t="s">
        <v>2689</v>
      </c>
      <c r="D1867" s="392" t="s">
        <v>2050</v>
      </c>
      <c r="E1867" s="387">
        <v>352777</v>
      </c>
      <c r="F1867" s="594"/>
      <c r="G1867" s="578">
        <v>122.31</v>
      </c>
      <c r="H1867" s="594"/>
      <c r="I1867" s="597"/>
      <c r="J1867" s="323" t="s">
        <v>2869</v>
      </c>
    </row>
    <row r="1868" spans="1:10" x14ac:dyDescent="0.25">
      <c r="A1868" s="321" t="s">
        <v>4394</v>
      </c>
      <c r="B1868" s="323" t="s">
        <v>121</v>
      </c>
      <c r="C1868" s="323" t="s">
        <v>238</v>
      </c>
      <c r="D1868" s="392" t="s">
        <v>4548</v>
      </c>
      <c r="E1868" s="387">
        <v>354066</v>
      </c>
      <c r="F1868" s="594"/>
      <c r="G1868" s="578">
        <v>98.6</v>
      </c>
      <c r="H1868" s="594"/>
      <c r="I1868" s="597"/>
      <c r="J1868" s="323" t="s">
        <v>2869</v>
      </c>
    </row>
    <row r="1869" spans="1:10" x14ac:dyDescent="0.25">
      <c r="A1869" s="321" t="s">
        <v>4394</v>
      </c>
      <c r="B1869" s="323" t="s">
        <v>121</v>
      </c>
      <c r="C1869" s="323" t="s">
        <v>2689</v>
      </c>
      <c r="D1869" s="392" t="s">
        <v>4549</v>
      </c>
      <c r="E1869" s="387">
        <v>354184</v>
      </c>
      <c r="F1869" s="594"/>
      <c r="G1869" s="578">
        <v>59.42</v>
      </c>
      <c r="H1869" s="594"/>
      <c r="I1869" s="597"/>
      <c r="J1869" s="323" t="s">
        <v>2869</v>
      </c>
    </row>
    <row r="1870" spans="1:10" x14ac:dyDescent="0.25">
      <c r="A1870" s="321" t="s">
        <v>4394</v>
      </c>
      <c r="B1870" s="323" t="s">
        <v>121</v>
      </c>
      <c r="C1870" s="323" t="s">
        <v>238</v>
      </c>
      <c r="D1870" s="392" t="s">
        <v>4550</v>
      </c>
      <c r="E1870" s="387">
        <v>354403</v>
      </c>
      <c r="F1870" s="594"/>
      <c r="G1870" s="578">
        <v>56.9</v>
      </c>
      <c r="H1870" s="594"/>
      <c r="I1870" s="597"/>
      <c r="J1870" s="323" t="s">
        <v>2869</v>
      </c>
    </row>
    <row r="1871" spans="1:10" x14ac:dyDescent="0.25">
      <c r="A1871" s="321">
        <v>42970</v>
      </c>
      <c r="B1871" s="323" t="s">
        <v>127</v>
      </c>
      <c r="D1871" s="392" t="s">
        <v>2130</v>
      </c>
      <c r="E1871" s="387">
        <v>214122</v>
      </c>
      <c r="F1871" s="594"/>
      <c r="G1871" s="578">
        <f>57.2+10</f>
        <v>67.2</v>
      </c>
      <c r="H1871" s="609">
        <v>3567067</v>
      </c>
      <c r="I1871" s="328"/>
      <c r="J1871" s="323" t="s">
        <v>179</v>
      </c>
    </row>
    <row r="1872" spans="1:10" x14ac:dyDescent="0.25">
      <c r="A1872" s="321">
        <v>42971</v>
      </c>
      <c r="B1872" s="323" t="s">
        <v>127</v>
      </c>
      <c r="D1872" s="392" t="s">
        <v>2130</v>
      </c>
      <c r="E1872" s="387">
        <v>214122</v>
      </c>
      <c r="F1872" s="594"/>
      <c r="G1872" s="578">
        <f>11.1+21.85</f>
        <v>32.950000000000003</v>
      </c>
      <c r="H1872" s="609">
        <v>3558416</v>
      </c>
      <c r="I1872" s="328"/>
      <c r="J1872" s="323" t="s">
        <v>179</v>
      </c>
    </row>
    <row r="1873" spans="1:10" x14ac:dyDescent="0.25">
      <c r="A1873" s="321" t="s">
        <v>4553</v>
      </c>
      <c r="B1873" s="323" t="s">
        <v>121</v>
      </c>
      <c r="C1873" s="323" t="s">
        <v>2688</v>
      </c>
      <c r="D1873" s="392" t="s">
        <v>2050</v>
      </c>
      <c r="E1873" s="387">
        <v>352777</v>
      </c>
      <c r="F1873" s="594"/>
      <c r="G1873" s="578">
        <v>-122.31</v>
      </c>
      <c r="H1873" s="594"/>
      <c r="I1873" s="597"/>
      <c r="J1873" s="323" t="s">
        <v>3495</v>
      </c>
    </row>
    <row r="1874" spans="1:10" x14ac:dyDescent="0.25">
      <c r="A1874" s="321" t="s">
        <v>4553</v>
      </c>
      <c r="B1874" s="323" t="s">
        <v>121</v>
      </c>
      <c r="C1874" s="323" t="s">
        <v>2688</v>
      </c>
      <c r="D1874" s="392" t="s">
        <v>4549</v>
      </c>
      <c r="E1874" s="387">
        <v>354184</v>
      </c>
      <c r="F1874" s="594"/>
      <c r="G1874" s="578">
        <v>-59.42</v>
      </c>
      <c r="H1874" s="594"/>
      <c r="I1874" s="597"/>
      <c r="J1874" s="323" t="s">
        <v>3495</v>
      </c>
    </row>
    <row r="1875" spans="1:10" x14ac:dyDescent="0.25">
      <c r="A1875" s="321" t="s">
        <v>4553</v>
      </c>
      <c r="B1875" s="323" t="s">
        <v>121</v>
      </c>
      <c r="C1875" s="323" t="s">
        <v>2688</v>
      </c>
      <c r="D1875" s="392" t="s">
        <v>4529</v>
      </c>
      <c r="E1875" s="387">
        <v>215820</v>
      </c>
      <c r="F1875" s="594" t="s">
        <v>4530</v>
      </c>
      <c r="G1875" s="578">
        <v>-134.11000000000001</v>
      </c>
      <c r="H1875" s="594">
        <v>3573230</v>
      </c>
      <c r="I1875" s="597"/>
      <c r="J1875" s="323" t="s">
        <v>4554</v>
      </c>
    </row>
    <row r="1876" spans="1:10" x14ac:dyDescent="0.25">
      <c r="A1876" s="321" t="s">
        <v>4553</v>
      </c>
      <c r="B1876" s="323" t="s">
        <v>121</v>
      </c>
      <c r="C1876" s="323" t="s">
        <v>2688</v>
      </c>
      <c r="D1876" s="392" t="s">
        <v>1671</v>
      </c>
      <c r="E1876" s="387">
        <v>214427</v>
      </c>
      <c r="F1876" s="594" t="s">
        <v>4514</v>
      </c>
      <c r="G1876" s="578">
        <v>-97.95</v>
      </c>
      <c r="H1876" s="594">
        <v>3570117</v>
      </c>
      <c r="I1876" s="597"/>
      <c r="J1876" s="323" t="s">
        <v>4555</v>
      </c>
    </row>
    <row r="1877" spans="1:10" x14ac:dyDescent="0.25">
      <c r="A1877" s="321" t="s">
        <v>4553</v>
      </c>
      <c r="B1877" s="323" t="s">
        <v>121</v>
      </c>
      <c r="C1877" s="323" t="s">
        <v>2688</v>
      </c>
      <c r="D1877" s="392" t="s">
        <v>4512</v>
      </c>
      <c r="E1877" s="387">
        <v>352285</v>
      </c>
      <c r="F1877" s="594" t="s">
        <v>4515</v>
      </c>
      <c r="G1877" s="578">
        <v>-98.23</v>
      </c>
      <c r="H1877" s="594">
        <v>3567841</v>
      </c>
      <c r="I1877" s="597"/>
      <c r="J1877" s="323" t="s">
        <v>4556</v>
      </c>
    </row>
    <row r="1878" spans="1:10" x14ac:dyDescent="0.25">
      <c r="A1878" s="321" t="s">
        <v>4553</v>
      </c>
      <c r="B1878" s="323" t="s">
        <v>121</v>
      </c>
      <c r="C1878" s="323" t="s">
        <v>2688</v>
      </c>
      <c r="D1878" s="392" t="s">
        <v>2320</v>
      </c>
      <c r="E1878" s="387">
        <v>351288</v>
      </c>
      <c r="F1878" s="594" t="s">
        <v>4498</v>
      </c>
      <c r="G1878" s="578">
        <v>-69.09</v>
      </c>
      <c r="H1878" s="594">
        <v>3565446</v>
      </c>
      <c r="I1878" s="597"/>
      <c r="J1878" s="323" t="s">
        <v>4557</v>
      </c>
    </row>
    <row r="1879" spans="1:10" x14ac:dyDescent="0.25">
      <c r="A1879" s="321" t="s">
        <v>4553</v>
      </c>
      <c r="B1879" s="323" t="s">
        <v>121</v>
      </c>
      <c r="C1879" s="323" t="s">
        <v>2688</v>
      </c>
      <c r="D1879" s="392" t="s">
        <v>1479</v>
      </c>
      <c r="E1879" s="387">
        <v>352305</v>
      </c>
      <c r="F1879" s="594" t="s">
        <v>4490</v>
      </c>
      <c r="G1879" s="578">
        <v>-62.02</v>
      </c>
      <c r="H1879" s="594">
        <v>3567630</v>
      </c>
      <c r="I1879" s="597"/>
      <c r="J1879" s="323" t="s">
        <v>4558</v>
      </c>
    </row>
    <row r="1880" spans="1:10" x14ac:dyDescent="0.25">
      <c r="A1880" s="321" t="s">
        <v>4553</v>
      </c>
      <c r="B1880" s="323" t="s">
        <v>121</v>
      </c>
      <c r="C1880" s="323" t="s">
        <v>238</v>
      </c>
      <c r="D1880" s="392" t="s">
        <v>2256</v>
      </c>
      <c r="E1880" s="387">
        <v>352526</v>
      </c>
      <c r="F1880" s="594" t="s">
        <v>4667</v>
      </c>
      <c r="G1880" s="578">
        <v>63.05</v>
      </c>
      <c r="H1880" s="594">
        <v>3567091</v>
      </c>
      <c r="I1880" s="597"/>
      <c r="J1880" s="323" t="s">
        <v>4594</v>
      </c>
    </row>
    <row r="1881" spans="1:10" x14ac:dyDescent="0.25">
      <c r="A1881" s="321" t="s">
        <v>4553</v>
      </c>
      <c r="B1881" s="323" t="s">
        <v>121</v>
      </c>
      <c r="C1881" s="323" t="s">
        <v>238</v>
      </c>
      <c r="D1881" s="392" t="s">
        <v>4591</v>
      </c>
      <c r="E1881" s="387">
        <v>353235</v>
      </c>
      <c r="F1881" s="594" t="s">
        <v>4592</v>
      </c>
      <c r="G1881" s="578">
        <v>58.4</v>
      </c>
      <c r="H1881" s="594">
        <v>3577216</v>
      </c>
      <c r="I1881" s="597"/>
      <c r="J1881" s="323" t="s">
        <v>4590</v>
      </c>
    </row>
    <row r="1882" spans="1:10" x14ac:dyDescent="0.25">
      <c r="A1882" s="321" t="s">
        <v>4553</v>
      </c>
      <c r="B1882" s="323" t="s">
        <v>121</v>
      </c>
      <c r="C1882" s="323" t="s">
        <v>238</v>
      </c>
      <c r="D1882" s="392" t="s">
        <v>4569</v>
      </c>
      <c r="E1882" s="387">
        <v>352177</v>
      </c>
      <c r="F1882" s="594" t="s">
        <v>4571</v>
      </c>
      <c r="G1882" s="578">
        <v>48.19</v>
      </c>
      <c r="H1882" s="594">
        <v>3577807</v>
      </c>
      <c r="I1882" s="597"/>
      <c r="J1882" s="323" t="s">
        <v>4566</v>
      </c>
    </row>
    <row r="1883" spans="1:10" x14ac:dyDescent="0.25">
      <c r="A1883" s="321" t="s">
        <v>4553</v>
      </c>
      <c r="B1883" s="323" t="s">
        <v>121</v>
      </c>
      <c r="C1883" s="323" t="s">
        <v>238</v>
      </c>
      <c r="D1883" s="392" t="s">
        <v>2957</v>
      </c>
      <c r="E1883" s="387">
        <v>351562</v>
      </c>
      <c r="F1883" s="594" t="s">
        <v>4579</v>
      </c>
      <c r="G1883" s="578">
        <v>52.65</v>
      </c>
      <c r="H1883" s="594">
        <v>3579480</v>
      </c>
      <c r="I1883" s="597"/>
      <c r="J1883" s="323" t="s">
        <v>4576</v>
      </c>
    </row>
    <row r="1884" spans="1:10" x14ac:dyDescent="0.25">
      <c r="A1884" s="321" t="s">
        <v>4553</v>
      </c>
      <c r="B1884" s="323" t="s">
        <v>121</v>
      </c>
      <c r="C1884" s="323" t="s">
        <v>238</v>
      </c>
      <c r="D1884" s="392" t="s">
        <v>4583</v>
      </c>
      <c r="E1884" s="387">
        <v>351188</v>
      </c>
      <c r="F1884" s="594" t="s">
        <v>4584</v>
      </c>
      <c r="G1884" s="578">
        <v>53.95</v>
      </c>
      <c r="H1884" s="594">
        <v>3581475</v>
      </c>
      <c r="I1884" s="597"/>
      <c r="J1884" s="323" t="s">
        <v>4580</v>
      </c>
    </row>
    <row r="1885" spans="1:10" x14ac:dyDescent="0.25">
      <c r="A1885" s="321" t="s">
        <v>4553</v>
      </c>
      <c r="B1885" s="323" t="s">
        <v>121</v>
      </c>
      <c r="C1885" s="323" t="s">
        <v>238</v>
      </c>
      <c r="D1885" s="392" t="s">
        <v>4649</v>
      </c>
      <c r="E1885" s="387">
        <v>352154</v>
      </c>
      <c r="F1885" s="594" t="s">
        <v>4658</v>
      </c>
      <c r="G1885" s="578">
        <v>158.94999999999999</v>
      </c>
      <c r="H1885" s="594">
        <v>3582446</v>
      </c>
      <c r="I1885" s="597"/>
      <c r="J1885" s="323" t="s">
        <v>4650</v>
      </c>
    </row>
    <row r="1886" spans="1:10" x14ac:dyDescent="0.25">
      <c r="A1886" s="321" t="s">
        <v>4553</v>
      </c>
      <c r="B1886" s="323" t="s">
        <v>121</v>
      </c>
      <c r="C1886" s="323" t="s">
        <v>238</v>
      </c>
      <c r="D1886" s="392" t="s">
        <v>4587</v>
      </c>
      <c r="E1886" s="387">
        <v>352811</v>
      </c>
      <c r="F1886" s="594" t="s">
        <v>4589</v>
      </c>
      <c r="G1886" s="578">
        <v>55.45</v>
      </c>
      <c r="H1886" s="594">
        <v>3582771</v>
      </c>
      <c r="I1886" s="597"/>
      <c r="J1886" s="323" t="s">
        <v>4588</v>
      </c>
    </row>
    <row r="1887" spans="1:10" x14ac:dyDescent="0.25">
      <c r="A1887" s="321" t="s">
        <v>4553</v>
      </c>
      <c r="B1887" s="323" t="s">
        <v>121</v>
      </c>
      <c r="C1887" s="323" t="s">
        <v>238</v>
      </c>
      <c r="D1887" s="392" t="s">
        <v>4601</v>
      </c>
      <c r="E1887" s="387">
        <v>351046</v>
      </c>
      <c r="F1887" s="594" t="s">
        <v>4604</v>
      </c>
      <c r="G1887" s="578">
        <v>66.55</v>
      </c>
      <c r="H1887" s="594">
        <v>3582864</v>
      </c>
      <c r="I1887" s="597"/>
      <c r="J1887" s="323" t="s">
        <v>4596</v>
      </c>
    </row>
    <row r="1888" spans="1:10" x14ac:dyDescent="0.25">
      <c r="A1888" s="321" t="s">
        <v>4553</v>
      </c>
      <c r="B1888" s="323" t="s">
        <v>121</v>
      </c>
      <c r="C1888" s="323" t="s">
        <v>238</v>
      </c>
      <c r="D1888" s="392" t="s">
        <v>316</v>
      </c>
      <c r="E1888" s="387">
        <v>351306</v>
      </c>
      <c r="F1888" s="594" t="s">
        <v>4605</v>
      </c>
      <c r="G1888" s="578">
        <v>66.55</v>
      </c>
      <c r="H1888" s="594">
        <v>3583137</v>
      </c>
      <c r="I1888" s="597"/>
      <c r="J1888" s="323" t="s">
        <v>4597</v>
      </c>
    </row>
    <row r="1889" spans="1:10" x14ac:dyDescent="0.25">
      <c r="A1889" s="321" t="s">
        <v>4553</v>
      </c>
      <c r="B1889" s="323" t="s">
        <v>121</v>
      </c>
      <c r="C1889" s="323" t="s">
        <v>238</v>
      </c>
      <c r="D1889" s="392" t="s">
        <v>2769</v>
      </c>
      <c r="E1889" s="387">
        <v>351138</v>
      </c>
      <c r="F1889" s="594" t="s">
        <v>4602</v>
      </c>
      <c r="G1889" s="578">
        <v>60.08</v>
      </c>
      <c r="H1889" s="594">
        <v>3583390</v>
      </c>
      <c r="I1889" s="597"/>
      <c r="J1889" s="323" t="s">
        <v>4593</v>
      </c>
    </row>
    <row r="1890" spans="1:10" x14ac:dyDescent="0.25">
      <c r="A1890" s="321" t="s">
        <v>4553</v>
      </c>
      <c r="B1890" s="323" t="s">
        <v>121</v>
      </c>
      <c r="C1890" s="323" t="s">
        <v>238</v>
      </c>
      <c r="D1890" s="392" t="s">
        <v>3575</v>
      </c>
      <c r="E1890" s="387">
        <v>352058</v>
      </c>
      <c r="F1890" s="594" t="s">
        <v>4639</v>
      </c>
      <c r="G1890" s="578">
        <v>103.15</v>
      </c>
      <c r="H1890" s="594">
        <v>3583716</v>
      </c>
      <c r="I1890" s="597"/>
      <c r="J1890" s="323" t="s">
        <v>4632</v>
      </c>
    </row>
    <row r="1891" spans="1:10" x14ac:dyDescent="0.25">
      <c r="A1891" s="321" t="s">
        <v>4553</v>
      </c>
      <c r="B1891" s="323" t="s">
        <v>121</v>
      </c>
      <c r="C1891" s="323" t="s">
        <v>238</v>
      </c>
      <c r="D1891" s="392" t="s">
        <v>3037</v>
      </c>
      <c r="E1891" s="387">
        <v>220738</v>
      </c>
      <c r="F1891" s="594" t="s">
        <v>4642</v>
      </c>
      <c r="G1891" s="578">
        <v>98.2</v>
      </c>
      <c r="H1891" s="594">
        <v>3584093</v>
      </c>
      <c r="I1891" s="597"/>
      <c r="J1891" s="323" t="s">
        <v>4629</v>
      </c>
    </row>
    <row r="1892" spans="1:10" x14ac:dyDescent="0.25">
      <c r="A1892" s="321" t="s">
        <v>4553</v>
      </c>
      <c r="B1892" s="323" t="s">
        <v>121</v>
      </c>
      <c r="C1892" s="323" t="s">
        <v>238</v>
      </c>
      <c r="D1892" s="392" t="s">
        <v>4560</v>
      </c>
      <c r="E1892" s="387">
        <v>352946</v>
      </c>
      <c r="F1892" s="594" t="s">
        <v>4562</v>
      </c>
      <c r="G1892" s="578">
        <v>26.85</v>
      </c>
      <c r="H1892" s="594">
        <v>3584471</v>
      </c>
      <c r="I1892" s="597"/>
      <c r="J1892" s="323" t="s">
        <v>4559</v>
      </c>
    </row>
    <row r="1893" spans="1:10" x14ac:dyDescent="0.25">
      <c r="A1893" s="321" t="s">
        <v>4553</v>
      </c>
      <c r="B1893" s="323" t="s">
        <v>121</v>
      </c>
      <c r="C1893" s="323" t="s">
        <v>238</v>
      </c>
      <c r="D1893" s="392" t="s">
        <v>4655</v>
      </c>
      <c r="E1893" s="387">
        <v>351076</v>
      </c>
      <c r="F1893" s="594" t="s">
        <v>4661</v>
      </c>
      <c r="G1893" s="578">
        <v>251.61</v>
      </c>
      <c r="H1893" s="594">
        <v>3585475</v>
      </c>
      <c r="I1893" s="597"/>
      <c r="J1893" s="323" t="s">
        <v>4653</v>
      </c>
    </row>
    <row r="1894" spans="1:10" x14ac:dyDescent="0.25">
      <c r="A1894" s="321" t="s">
        <v>4553</v>
      </c>
      <c r="B1894" s="323" t="s">
        <v>121</v>
      </c>
      <c r="C1894" s="323" t="s">
        <v>238</v>
      </c>
      <c r="D1894" s="392" t="s">
        <v>1897</v>
      </c>
      <c r="E1894" s="387">
        <v>352658</v>
      </c>
      <c r="F1894" s="594" t="s">
        <v>4565</v>
      </c>
      <c r="G1894" s="578">
        <v>43.95</v>
      </c>
      <c r="H1894" s="594">
        <v>3587027</v>
      </c>
      <c r="I1894" s="597"/>
      <c r="J1894" s="323" t="s">
        <v>4564</v>
      </c>
    </row>
    <row r="1895" spans="1:10" x14ac:dyDescent="0.25">
      <c r="A1895" s="321" t="s">
        <v>4553</v>
      </c>
      <c r="B1895" s="323" t="s">
        <v>121</v>
      </c>
      <c r="C1895" s="323" t="s">
        <v>238</v>
      </c>
      <c r="D1895" s="392" t="s">
        <v>4648</v>
      </c>
      <c r="E1895" s="387">
        <v>212393</v>
      </c>
      <c r="F1895" s="594" t="s">
        <v>4657</v>
      </c>
      <c r="G1895" s="578">
        <v>141.26</v>
      </c>
      <c r="H1895" s="594">
        <v>3587880</v>
      </c>
      <c r="I1895" s="597"/>
      <c r="J1895" s="323" t="s">
        <v>4647</v>
      </c>
    </row>
    <row r="1896" spans="1:10" x14ac:dyDescent="0.25">
      <c r="A1896" s="321" t="s">
        <v>4553</v>
      </c>
      <c r="B1896" s="323" t="s">
        <v>121</v>
      </c>
      <c r="C1896" s="323" t="s">
        <v>238</v>
      </c>
      <c r="D1896" s="392" t="s">
        <v>1017</v>
      </c>
      <c r="E1896" s="387">
        <v>350580</v>
      </c>
      <c r="F1896" s="594" t="s">
        <v>4608</v>
      </c>
      <c r="G1896" s="578">
        <v>67.709999999999994</v>
      </c>
      <c r="H1896" s="594">
        <v>3589482</v>
      </c>
      <c r="I1896" s="597"/>
      <c r="J1896" s="323" t="s">
        <v>4600</v>
      </c>
    </row>
    <row r="1897" spans="1:10" x14ac:dyDescent="0.25">
      <c r="A1897" s="321" t="s">
        <v>4553</v>
      </c>
      <c r="B1897" s="323" t="s">
        <v>121</v>
      </c>
      <c r="C1897" s="323" t="s">
        <v>238</v>
      </c>
      <c r="D1897" s="392" t="s">
        <v>4362</v>
      </c>
      <c r="E1897" s="387">
        <v>352176</v>
      </c>
      <c r="F1897" s="594" t="s">
        <v>4627</v>
      </c>
      <c r="G1897" s="578">
        <v>91.65</v>
      </c>
      <c r="H1897" s="594">
        <v>3589485</v>
      </c>
      <c r="I1897" s="597"/>
      <c r="J1897" s="323" t="s">
        <v>4625</v>
      </c>
    </row>
    <row r="1898" spans="1:10" x14ac:dyDescent="0.25">
      <c r="A1898" s="321" t="s">
        <v>4553</v>
      </c>
      <c r="B1898" s="323" t="s">
        <v>121</v>
      </c>
      <c r="C1898" s="323" t="s">
        <v>238</v>
      </c>
      <c r="D1898" s="392" t="s">
        <v>3356</v>
      </c>
      <c r="E1898" s="387">
        <v>222966</v>
      </c>
      <c r="F1898" s="594" t="s">
        <v>4622</v>
      </c>
      <c r="G1898" s="578">
        <v>80.95</v>
      </c>
      <c r="H1898" s="594">
        <v>3589528</v>
      </c>
      <c r="I1898" s="597"/>
      <c r="J1898" s="323" t="s">
        <v>4616</v>
      </c>
    </row>
    <row r="1899" spans="1:10" x14ac:dyDescent="0.25">
      <c r="A1899" s="321" t="s">
        <v>4553</v>
      </c>
      <c r="B1899" s="323" t="s">
        <v>121</v>
      </c>
      <c r="C1899" s="323" t="s">
        <v>238</v>
      </c>
      <c r="D1899" s="392" t="s">
        <v>4654</v>
      </c>
      <c r="E1899" s="387">
        <v>350609</v>
      </c>
      <c r="F1899" s="594" t="s">
        <v>4659</v>
      </c>
      <c r="G1899" s="578">
        <v>198.95</v>
      </c>
      <c r="H1899" s="594">
        <v>3589852</v>
      </c>
      <c r="I1899" s="597"/>
      <c r="J1899" s="323" t="s">
        <v>4651</v>
      </c>
    </row>
    <row r="1900" spans="1:10" x14ac:dyDescent="0.25">
      <c r="A1900" s="321" t="s">
        <v>4553</v>
      </c>
      <c r="B1900" s="323" t="s">
        <v>121</v>
      </c>
      <c r="C1900" s="323" t="s">
        <v>238</v>
      </c>
      <c r="D1900" s="392" t="s">
        <v>2925</v>
      </c>
      <c r="E1900" s="387">
        <v>353967</v>
      </c>
      <c r="F1900" s="594" t="s">
        <v>4640</v>
      </c>
      <c r="G1900" s="578">
        <v>104.95</v>
      </c>
      <c r="H1900" s="594">
        <v>3590702</v>
      </c>
      <c r="I1900" s="597"/>
      <c r="J1900" s="323" t="s">
        <v>4633</v>
      </c>
    </row>
    <row r="1901" spans="1:10" x14ac:dyDescent="0.25">
      <c r="A1901" s="321" t="s">
        <v>4553</v>
      </c>
      <c r="B1901" s="323" t="s">
        <v>121</v>
      </c>
      <c r="C1901" s="323" t="s">
        <v>238</v>
      </c>
      <c r="D1901" s="392" t="s">
        <v>2230</v>
      </c>
      <c r="E1901" s="387">
        <v>350400</v>
      </c>
      <c r="F1901" s="594" t="s">
        <v>4643</v>
      </c>
      <c r="G1901" s="578">
        <f>62.31</f>
        <v>62.31</v>
      </c>
      <c r="H1901" s="594">
        <v>3590836</v>
      </c>
      <c r="I1901" s="597"/>
      <c r="J1901" s="323" t="s">
        <v>4631</v>
      </c>
    </row>
    <row r="1902" spans="1:10" x14ac:dyDescent="0.25">
      <c r="A1902" s="321" t="s">
        <v>4553</v>
      </c>
      <c r="B1902" s="323" t="s">
        <v>121</v>
      </c>
      <c r="C1902" s="323" t="s">
        <v>238</v>
      </c>
      <c r="D1902" s="392" t="s">
        <v>1565</v>
      </c>
      <c r="E1902" s="387">
        <v>352342</v>
      </c>
      <c r="F1902" s="594" t="s">
        <v>4641</v>
      </c>
      <c r="G1902" s="578">
        <v>106.94</v>
      </c>
      <c r="H1902" s="594">
        <v>3590838</v>
      </c>
      <c r="I1902" s="597"/>
      <c r="J1902" s="323" t="s">
        <v>4634</v>
      </c>
    </row>
    <row r="1903" spans="1:10" x14ac:dyDescent="0.25">
      <c r="A1903" s="321" t="s">
        <v>4553</v>
      </c>
      <c r="B1903" s="323" t="s">
        <v>121</v>
      </c>
      <c r="C1903" s="323" t="s">
        <v>238</v>
      </c>
      <c r="D1903" s="392" t="s">
        <v>2450</v>
      </c>
      <c r="E1903" s="387">
        <v>224428</v>
      </c>
      <c r="F1903" s="594" t="s">
        <v>4606</v>
      </c>
      <c r="G1903" s="578">
        <v>67.42</v>
      </c>
      <c r="H1903" s="594">
        <v>3591163</v>
      </c>
      <c r="I1903" s="597"/>
      <c r="J1903" s="323" t="s">
        <v>4598</v>
      </c>
    </row>
    <row r="1904" spans="1:10" x14ac:dyDescent="0.25">
      <c r="A1904" s="321" t="s">
        <v>4553</v>
      </c>
      <c r="B1904" s="323" t="s">
        <v>121</v>
      </c>
      <c r="C1904" s="323" t="s">
        <v>238</v>
      </c>
      <c r="D1904" s="392" t="s">
        <v>1266</v>
      </c>
      <c r="E1904" s="387">
        <v>350923</v>
      </c>
      <c r="F1904" s="594" t="s">
        <v>4607</v>
      </c>
      <c r="G1904" s="578">
        <v>67.45</v>
      </c>
      <c r="H1904" s="594">
        <v>3591727</v>
      </c>
      <c r="I1904" s="597"/>
      <c r="J1904" s="323" t="s">
        <v>4599</v>
      </c>
    </row>
    <row r="1905" spans="1:10" x14ac:dyDescent="0.25">
      <c r="A1905" s="321" t="s">
        <v>4553</v>
      </c>
      <c r="B1905" s="323" t="s">
        <v>121</v>
      </c>
      <c r="C1905" s="323" t="s">
        <v>238</v>
      </c>
      <c r="D1905" s="392" t="s">
        <v>1459</v>
      </c>
      <c r="E1905" s="387">
        <v>211617</v>
      </c>
      <c r="F1905" s="594" t="s">
        <v>4662</v>
      </c>
      <c r="G1905" s="578">
        <v>131.85</v>
      </c>
      <c r="H1905" s="594">
        <v>3592624</v>
      </c>
      <c r="I1905" s="597"/>
      <c r="J1905" s="323" t="s">
        <v>4646</v>
      </c>
    </row>
    <row r="1906" spans="1:10" x14ac:dyDescent="0.25">
      <c r="A1906" s="321" t="s">
        <v>4553</v>
      </c>
      <c r="B1906" s="323" t="s">
        <v>121</v>
      </c>
      <c r="C1906" s="323" t="s">
        <v>238</v>
      </c>
      <c r="D1906" s="392" t="s">
        <v>75</v>
      </c>
      <c r="E1906" s="387">
        <v>350332</v>
      </c>
      <c r="F1906" s="594" t="s">
        <v>4563</v>
      </c>
      <c r="G1906" s="578">
        <v>29.75</v>
      </c>
      <c r="H1906" s="594">
        <v>3592840</v>
      </c>
      <c r="I1906" s="597"/>
      <c r="J1906" s="323" t="s">
        <v>4561</v>
      </c>
    </row>
    <row r="1907" spans="1:10" x14ac:dyDescent="0.25">
      <c r="A1907" s="321" t="s">
        <v>4553</v>
      </c>
      <c r="B1907" s="323" t="s">
        <v>121</v>
      </c>
      <c r="C1907" s="323" t="s">
        <v>238</v>
      </c>
      <c r="D1907" s="392" t="s">
        <v>2376</v>
      </c>
      <c r="E1907" s="387">
        <v>350334</v>
      </c>
      <c r="F1907" s="594" t="s">
        <v>4611</v>
      </c>
      <c r="G1907" s="578">
        <v>73.7</v>
      </c>
      <c r="H1907" s="594">
        <v>3592982</v>
      </c>
      <c r="I1907" s="597"/>
      <c r="J1907" s="323" t="s">
        <v>4609</v>
      </c>
    </row>
    <row r="1908" spans="1:10" x14ac:dyDescent="0.25">
      <c r="A1908" s="321" t="s">
        <v>4553</v>
      </c>
      <c r="B1908" s="323" t="s">
        <v>121</v>
      </c>
      <c r="C1908" s="323" t="s">
        <v>238</v>
      </c>
      <c r="D1908" s="392" t="s">
        <v>1488</v>
      </c>
      <c r="E1908" s="387">
        <v>351780</v>
      </c>
      <c r="F1908" s="594" t="s">
        <v>4619</v>
      </c>
      <c r="G1908" s="578">
        <v>77.849999999999994</v>
      </c>
      <c r="H1908" s="594">
        <v>3594890</v>
      </c>
      <c r="I1908" s="597"/>
      <c r="J1908" s="323" t="s">
        <v>4613</v>
      </c>
    </row>
    <row r="1909" spans="1:10" x14ac:dyDescent="0.25">
      <c r="A1909" s="321" t="s">
        <v>4553</v>
      </c>
      <c r="B1909" s="323" t="s">
        <v>121</v>
      </c>
      <c r="C1909" s="323" t="s">
        <v>238</v>
      </c>
      <c r="D1909" s="392" t="s">
        <v>1493</v>
      </c>
      <c r="E1909" s="387">
        <v>350493</v>
      </c>
      <c r="F1909" s="594" t="s">
        <v>4660</v>
      </c>
      <c r="G1909" s="578">
        <v>193.46</v>
      </c>
      <c r="H1909" s="594">
        <v>3594971</v>
      </c>
      <c r="I1909" s="597"/>
      <c r="J1909" s="323" t="s">
        <v>4652</v>
      </c>
    </row>
    <row r="1910" spans="1:10" x14ac:dyDescent="0.25">
      <c r="A1910" s="321" t="s">
        <v>4553</v>
      </c>
      <c r="B1910" s="323" t="s">
        <v>121</v>
      </c>
      <c r="C1910" s="323" t="s">
        <v>238</v>
      </c>
      <c r="D1910" s="392" t="s">
        <v>3018</v>
      </c>
      <c r="E1910" s="387">
        <v>212312</v>
      </c>
      <c r="F1910" s="594" t="s">
        <v>4585</v>
      </c>
      <c r="G1910" s="578">
        <v>54.07</v>
      </c>
      <c r="H1910" s="594">
        <v>3595210</v>
      </c>
      <c r="I1910" s="597"/>
      <c r="J1910" s="323" t="s">
        <v>4581</v>
      </c>
    </row>
    <row r="1911" spans="1:10" x14ac:dyDescent="0.25">
      <c r="A1911" s="321" t="s">
        <v>4553</v>
      </c>
      <c r="B1911" s="323" t="s">
        <v>121</v>
      </c>
      <c r="C1911" s="323" t="s">
        <v>238</v>
      </c>
      <c r="D1911" s="392" t="s">
        <v>2230</v>
      </c>
      <c r="E1911" s="387">
        <v>350400</v>
      </c>
      <c r="F1911" s="594" t="s">
        <v>4638</v>
      </c>
      <c r="G1911" s="578">
        <v>40.82</v>
      </c>
      <c r="H1911" s="594">
        <v>3596569</v>
      </c>
      <c r="I1911" s="597"/>
      <c r="J1911" s="323" t="s">
        <v>4631</v>
      </c>
    </row>
    <row r="1912" spans="1:10" x14ac:dyDescent="0.25">
      <c r="A1912" s="321" t="s">
        <v>4553</v>
      </c>
      <c r="B1912" s="323" t="s">
        <v>121</v>
      </c>
      <c r="C1912" s="323" t="s">
        <v>238</v>
      </c>
      <c r="D1912" s="392" t="s">
        <v>1502</v>
      </c>
      <c r="E1912" s="387">
        <v>350434</v>
      </c>
      <c r="F1912" s="594" t="s">
        <v>4636</v>
      </c>
      <c r="G1912" s="578">
        <v>98.2</v>
      </c>
      <c r="H1912" s="594">
        <v>3596909</v>
      </c>
      <c r="I1912" s="597"/>
      <c r="J1912" s="323" t="s">
        <v>4628</v>
      </c>
    </row>
    <row r="1913" spans="1:10" x14ac:dyDescent="0.25">
      <c r="A1913" s="321" t="s">
        <v>4553</v>
      </c>
      <c r="B1913" s="323" t="s">
        <v>121</v>
      </c>
      <c r="C1913" s="323" t="s">
        <v>238</v>
      </c>
      <c r="D1913" s="392" t="s">
        <v>4618</v>
      </c>
      <c r="E1913" s="387">
        <v>352922</v>
      </c>
      <c r="F1913" s="594" t="s">
        <v>4621</v>
      </c>
      <c r="G1913" s="578">
        <v>78.87</v>
      </c>
      <c r="H1913" s="594">
        <v>3597894</v>
      </c>
      <c r="I1913" s="597"/>
      <c r="J1913" s="323" t="s">
        <v>4615</v>
      </c>
    </row>
    <row r="1914" spans="1:10" x14ac:dyDescent="0.25">
      <c r="A1914" s="321" t="s">
        <v>4553</v>
      </c>
      <c r="B1914" s="323" t="s">
        <v>121</v>
      </c>
      <c r="C1914" s="323" t="s">
        <v>238</v>
      </c>
      <c r="D1914" s="392" t="s">
        <v>4623</v>
      </c>
      <c r="E1914" s="387">
        <v>352846</v>
      </c>
      <c r="F1914" s="594" t="s">
        <v>4626</v>
      </c>
      <c r="G1914" s="578">
        <v>90.95</v>
      </c>
      <c r="H1914" s="594">
        <v>3598138</v>
      </c>
      <c r="I1914" s="597"/>
      <c r="J1914" s="323" t="s">
        <v>4624</v>
      </c>
    </row>
    <row r="1915" spans="1:10" x14ac:dyDescent="0.25">
      <c r="A1915" s="321" t="s">
        <v>4553</v>
      </c>
      <c r="B1915" s="323" t="s">
        <v>121</v>
      </c>
      <c r="C1915" s="323" t="s">
        <v>238</v>
      </c>
      <c r="D1915" s="392" t="s">
        <v>4635</v>
      </c>
      <c r="E1915" s="387">
        <v>354133</v>
      </c>
      <c r="F1915" s="594" t="s">
        <v>4637</v>
      </c>
      <c r="G1915" s="578">
        <v>102.19</v>
      </c>
      <c r="H1915" s="594">
        <v>3598310</v>
      </c>
      <c r="I1915" s="597"/>
      <c r="J1915" s="323" t="s">
        <v>4630</v>
      </c>
    </row>
    <row r="1916" spans="1:10" x14ac:dyDescent="0.25">
      <c r="A1916" s="321" t="s">
        <v>4553</v>
      </c>
      <c r="B1916" s="323" t="s">
        <v>121</v>
      </c>
      <c r="C1916" s="323" t="s">
        <v>238</v>
      </c>
      <c r="D1916" s="392" t="s">
        <v>2149</v>
      </c>
      <c r="E1916" s="387">
        <v>35002</v>
      </c>
      <c r="F1916" s="594" t="s">
        <v>4603</v>
      </c>
      <c r="G1916" s="578">
        <v>65.75</v>
      </c>
      <c r="H1916" s="594">
        <v>3599654</v>
      </c>
      <c r="I1916" s="597"/>
      <c r="J1916" s="323" t="s">
        <v>4595</v>
      </c>
    </row>
    <row r="1917" spans="1:10" x14ac:dyDescent="0.25">
      <c r="A1917" s="321" t="s">
        <v>4553</v>
      </c>
      <c r="B1917" s="323" t="s">
        <v>121</v>
      </c>
      <c r="C1917" s="323" t="s">
        <v>238</v>
      </c>
      <c r="D1917" s="392" t="s">
        <v>243</v>
      </c>
      <c r="E1917" s="387">
        <v>350484</v>
      </c>
      <c r="F1917" s="594" t="s">
        <v>4612</v>
      </c>
      <c r="G1917" s="578">
        <v>75.06</v>
      </c>
      <c r="H1917" s="594">
        <v>3600462</v>
      </c>
      <c r="I1917" s="597"/>
      <c r="J1917" s="323" t="s">
        <v>4610</v>
      </c>
    </row>
    <row r="1918" spans="1:10" x14ac:dyDescent="0.25">
      <c r="A1918" s="321" t="s">
        <v>4553</v>
      </c>
      <c r="B1918" s="323" t="s">
        <v>121</v>
      </c>
      <c r="C1918" s="323" t="s">
        <v>238</v>
      </c>
      <c r="D1918" s="392" t="s">
        <v>1710</v>
      </c>
      <c r="E1918" s="387">
        <v>351488</v>
      </c>
      <c r="F1918" s="594" t="s">
        <v>4586</v>
      </c>
      <c r="G1918" s="578">
        <v>54.55</v>
      </c>
      <c r="H1918" s="594">
        <v>3601488</v>
      </c>
      <c r="I1918" s="597"/>
      <c r="J1918" s="323" t="s">
        <v>4582</v>
      </c>
    </row>
    <row r="1919" spans="1:10" x14ac:dyDescent="0.25">
      <c r="A1919" s="321" t="s">
        <v>4553</v>
      </c>
      <c r="B1919" s="323" t="s">
        <v>121</v>
      </c>
      <c r="C1919" s="323" t="s">
        <v>238</v>
      </c>
      <c r="D1919" s="392" t="s">
        <v>4570</v>
      </c>
      <c r="E1919" s="387">
        <v>352520</v>
      </c>
      <c r="F1919" s="594" t="s">
        <v>4572</v>
      </c>
      <c r="G1919" s="578">
        <v>49.89</v>
      </c>
      <c r="H1919" s="594">
        <v>3602876</v>
      </c>
      <c r="I1919" s="597"/>
      <c r="J1919" s="323" t="s">
        <v>4567</v>
      </c>
    </row>
    <row r="1920" spans="1:10" x14ac:dyDescent="0.25">
      <c r="A1920" s="321" t="s">
        <v>4553</v>
      </c>
      <c r="B1920" s="323" t="s">
        <v>121</v>
      </c>
      <c r="C1920" s="323" t="s">
        <v>238</v>
      </c>
      <c r="D1920" s="392" t="s">
        <v>4577</v>
      </c>
      <c r="E1920" s="387">
        <v>213509</v>
      </c>
      <c r="F1920" s="597" t="s">
        <v>4578</v>
      </c>
      <c r="G1920" s="578">
        <v>52.52</v>
      </c>
      <c r="H1920" s="597">
        <v>3602954</v>
      </c>
      <c r="I1920" s="597"/>
      <c r="J1920" s="323" t="s">
        <v>4575</v>
      </c>
    </row>
    <row r="1921" spans="1:10" x14ac:dyDescent="0.25">
      <c r="A1921" s="321" t="s">
        <v>4553</v>
      </c>
      <c r="B1921" s="323" t="s">
        <v>121</v>
      </c>
      <c r="C1921" s="323" t="s">
        <v>238</v>
      </c>
      <c r="D1921" s="392" t="s">
        <v>4645</v>
      </c>
      <c r="E1921" s="387">
        <v>220272</v>
      </c>
      <c r="F1921" s="597" t="s">
        <v>4656</v>
      </c>
      <c r="G1921" s="578">
        <v>127.61</v>
      </c>
      <c r="H1921" s="597">
        <v>3603246</v>
      </c>
      <c r="I1921" s="597"/>
      <c r="J1921" s="323" t="s">
        <v>4644</v>
      </c>
    </row>
    <row r="1922" spans="1:10" x14ac:dyDescent="0.25">
      <c r="A1922" s="321" t="s">
        <v>4553</v>
      </c>
      <c r="B1922" s="323" t="s">
        <v>121</v>
      </c>
      <c r="C1922" s="323" t="s">
        <v>238</v>
      </c>
      <c r="D1922" s="392" t="s">
        <v>4568</v>
      </c>
      <c r="E1922" s="387">
        <v>215252</v>
      </c>
      <c r="F1922" s="597" t="s">
        <v>4573</v>
      </c>
      <c r="G1922" s="578">
        <v>47.95</v>
      </c>
      <c r="H1922" s="597">
        <v>3603311</v>
      </c>
      <c r="I1922" s="597"/>
      <c r="J1922" s="323" t="s">
        <v>4574</v>
      </c>
    </row>
    <row r="1923" spans="1:10" x14ac:dyDescent="0.25">
      <c r="A1923" s="321" t="s">
        <v>4553</v>
      </c>
      <c r="B1923" s="323" t="s">
        <v>121</v>
      </c>
      <c r="C1923" s="323" t="s">
        <v>238</v>
      </c>
      <c r="D1923" s="392" t="s">
        <v>4617</v>
      </c>
      <c r="E1923" s="387">
        <v>352611</v>
      </c>
      <c r="F1923" s="597" t="s">
        <v>4620</v>
      </c>
      <c r="G1923" s="578">
        <v>77.97</v>
      </c>
      <c r="H1923" s="597">
        <v>3603720</v>
      </c>
      <c r="I1923" s="597"/>
      <c r="J1923" s="323" t="s">
        <v>4614</v>
      </c>
    </row>
    <row r="1924" spans="1:10" x14ac:dyDescent="0.25">
      <c r="A1924" s="321" t="s">
        <v>4553</v>
      </c>
      <c r="B1924" s="323" t="s">
        <v>121</v>
      </c>
      <c r="C1924" s="323" t="s">
        <v>238</v>
      </c>
      <c r="D1924" s="392" t="s">
        <v>4663</v>
      </c>
      <c r="E1924" s="387">
        <v>354249</v>
      </c>
      <c r="F1924" s="597"/>
      <c r="G1924" s="578">
        <v>65.16</v>
      </c>
      <c r="H1924" s="597"/>
      <c r="I1924" s="597"/>
      <c r="J1924" s="323" t="s">
        <v>2374</v>
      </c>
    </row>
    <row r="1925" spans="1:10" x14ac:dyDescent="0.25">
      <c r="A1925" s="321" t="s">
        <v>4553</v>
      </c>
      <c r="B1925" s="323" t="s">
        <v>121</v>
      </c>
      <c r="C1925" s="323" t="s">
        <v>238</v>
      </c>
      <c r="D1925" s="392" t="s">
        <v>2023</v>
      </c>
      <c r="E1925" s="387">
        <v>353024</v>
      </c>
      <c r="F1925" s="597"/>
      <c r="G1925" s="578">
        <v>60.15</v>
      </c>
      <c r="H1925" s="597"/>
      <c r="I1925" s="597"/>
      <c r="J1925" s="323" t="s">
        <v>2374</v>
      </c>
    </row>
    <row r="1926" spans="1:10" x14ac:dyDescent="0.25">
      <c r="A1926" s="321" t="s">
        <v>4553</v>
      </c>
      <c r="B1926" s="323" t="s">
        <v>121</v>
      </c>
      <c r="C1926" s="323" t="s">
        <v>238</v>
      </c>
      <c r="D1926" s="392" t="s">
        <v>4347</v>
      </c>
      <c r="E1926" s="387">
        <v>353804</v>
      </c>
      <c r="F1926" s="597"/>
      <c r="G1926" s="578">
        <v>52.92</v>
      </c>
      <c r="H1926" s="597"/>
      <c r="I1926" s="597"/>
      <c r="J1926" s="323" t="s">
        <v>2374</v>
      </c>
    </row>
    <row r="1927" spans="1:10" x14ac:dyDescent="0.25">
      <c r="A1927" s="321">
        <v>42977</v>
      </c>
      <c r="B1927" s="323" t="s">
        <v>127</v>
      </c>
      <c r="D1927" s="392" t="s">
        <v>4664</v>
      </c>
      <c r="E1927" s="387">
        <v>350197</v>
      </c>
      <c r="F1927" s="597"/>
      <c r="G1927" s="578">
        <f>5.67+32.45</f>
        <v>38.120000000000005</v>
      </c>
      <c r="H1927" s="597">
        <v>3580000</v>
      </c>
      <c r="I1927" s="597"/>
      <c r="J1927" s="323" t="s">
        <v>4665</v>
      </c>
    </row>
    <row r="1928" spans="1:10" x14ac:dyDescent="0.25">
      <c r="A1928" s="321">
        <v>42977</v>
      </c>
      <c r="B1928" s="323" t="s">
        <v>127</v>
      </c>
      <c r="D1928" s="392" t="s">
        <v>4664</v>
      </c>
      <c r="E1928" s="387">
        <v>350197</v>
      </c>
      <c r="F1928" s="597"/>
      <c r="G1928" s="578">
        <f>34.46+69.26</f>
        <v>103.72</v>
      </c>
      <c r="H1928" s="597">
        <v>3588456</v>
      </c>
      <c r="I1928" s="597"/>
      <c r="J1928" s="323" t="s">
        <v>4665</v>
      </c>
    </row>
    <row r="1929" spans="1:10" x14ac:dyDescent="0.25">
      <c r="A1929" s="321">
        <v>42977</v>
      </c>
      <c r="B1929" s="323" t="s">
        <v>127</v>
      </c>
      <c r="D1929" s="392" t="s">
        <v>4664</v>
      </c>
      <c r="E1929" s="387">
        <v>350197</v>
      </c>
      <c r="F1929" s="597"/>
      <c r="G1929" s="578">
        <f>14.49+43.71</f>
        <v>58.2</v>
      </c>
      <c r="H1929" s="597">
        <v>3590485</v>
      </c>
      <c r="I1929" s="597"/>
      <c r="J1929" s="323" t="s">
        <v>4665</v>
      </c>
    </row>
    <row r="1930" spans="1:10" x14ac:dyDescent="0.25">
      <c r="A1930" s="321">
        <v>42978</v>
      </c>
      <c r="B1930" s="323" t="s">
        <v>127</v>
      </c>
      <c r="D1930" s="392" t="s">
        <v>4664</v>
      </c>
      <c r="E1930" s="387">
        <v>350197</v>
      </c>
      <c r="F1930" s="597"/>
      <c r="G1930" s="578">
        <f>5.85+40.06</f>
        <v>45.910000000000004</v>
      </c>
      <c r="H1930" s="597">
        <v>3583327</v>
      </c>
      <c r="I1930" s="597"/>
      <c r="J1930" s="323" t="s">
        <v>4665</v>
      </c>
    </row>
    <row r="1931" spans="1:10" x14ac:dyDescent="0.25">
      <c r="A1931" s="321">
        <v>42979</v>
      </c>
      <c r="B1931" s="323" t="s">
        <v>127</v>
      </c>
      <c r="D1931" s="392" t="s">
        <v>4664</v>
      </c>
      <c r="E1931" s="387">
        <v>350197</v>
      </c>
      <c r="F1931" s="597"/>
      <c r="G1931" s="578">
        <f>20.71+84.18</f>
        <v>104.89000000000001</v>
      </c>
      <c r="H1931" s="597">
        <v>3602027</v>
      </c>
      <c r="I1931" s="597"/>
      <c r="J1931" s="323" t="s">
        <v>4665</v>
      </c>
    </row>
    <row r="1932" spans="1:10" x14ac:dyDescent="0.25">
      <c r="A1932" s="321">
        <v>42949.44903935185</v>
      </c>
      <c r="B1932" s="323" t="s">
        <v>127</v>
      </c>
      <c r="D1932" s="392" t="s">
        <v>4664</v>
      </c>
      <c r="E1932" s="387">
        <v>350197</v>
      </c>
      <c r="F1932" s="597"/>
      <c r="G1932" s="578">
        <v>7.52</v>
      </c>
      <c r="H1932" s="597">
        <v>3463150</v>
      </c>
      <c r="I1932" s="597"/>
      <c r="J1932" s="323" t="s">
        <v>4666</v>
      </c>
    </row>
    <row r="1933" spans="1:10" x14ac:dyDescent="0.25">
      <c r="A1933" s="321">
        <v>42950.067939814813</v>
      </c>
      <c r="B1933" s="323" t="s">
        <v>127</v>
      </c>
      <c r="D1933" s="392" t="s">
        <v>4664</v>
      </c>
      <c r="E1933" s="387">
        <v>350197</v>
      </c>
      <c r="F1933" s="597"/>
      <c r="G1933" s="578">
        <v>14.49</v>
      </c>
      <c r="H1933" s="597">
        <v>3478133</v>
      </c>
      <c r="I1933" s="597"/>
      <c r="J1933" s="323" t="s">
        <v>4666</v>
      </c>
    </row>
    <row r="1934" spans="1:10" x14ac:dyDescent="0.25">
      <c r="A1934" s="321">
        <v>42951.07471064815</v>
      </c>
      <c r="B1934" s="323" t="s">
        <v>127</v>
      </c>
      <c r="D1934" s="392" t="s">
        <v>4664</v>
      </c>
      <c r="E1934" s="387">
        <v>350197</v>
      </c>
      <c r="F1934" s="597"/>
      <c r="G1934" s="578">
        <v>5.85</v>
      </c>
      <c r="H1934" s="597">
        <v>3474471</v>
      </c>
      <c r="I1934" s="597"/>
      <c r="J1934" s="323" t="s">
        <v>4666</v>
      </c>
    </row>
    <row r="1935" spans="1:10" x14ac:dyDescent="0.25">
      <c r="A1935" s="321">
        <v>42958.17396990741</v>
      </c>
      <c r="B1935" s="323" t="s">
        <v>127</v>
      </c>
      <c r="D1935" s="392" t="s">
        <v>4664</v>
      </c>
      <c r="E1935" s="387">
        <v>350197</v>
      </c>
      <c r="F1935" s="597"/>
      <c r="G1935" s="578">
        <v>13.3</v>
      </c>
      <c r="H1935" s="597">
        <v>3515488</v>
      </c>
      <c r="I1935" s="597"/>
      <c r="J1935" s="323" t="s">
        <v>4666</v>
      </c>
    </row>
    <row r="1936" spans="1:10" x14ac:dyDescent="0.25">
      <c r="A1936" s="321">
        <v>42961.142777777779</v>
      </c>
      <c r="B1936" s="323" t="s">
        <v>127</v>
      </c>
      <c r="D1936" s="392" t="s">
        <v>4664</v>
      </c>
      <c r="E1936" s="387">
        <v>350197</v>
      </c>
      <c r="F1936" s="597"/>
      <c r="G1936" s="578">
        <v>8.4</v>
      </c>
      <c r="H1936" s="597">
        <v>3519030</v>
      </c>
      <c r="I1936" s="597"/>
      <c r="J1936" s="323" t="s">
        <v>4666</v>
      </c>
    </row>
    <row r="1937" spans="1:10" x14ac:dyDescent="0.25">
      <c r="A1937" s="321">
        <v>42963.423206018517</v>
      </c>
      <c r="B1937" s="323" t="s">
        <v>127</v>
      </c>
      <c r="D1937" s="392" t="s">
        <v>4664</v>
      </c>
      <c r="E1937" s="387">
        <v>350197</v>
      </c>
      <c r="F1937" s="597"/>
      <c r="G1937" s="578">
        <v>5.85</v>
      </c>
      <c r="H1937" s="597">
        <v>3531107</v>
      </c>
      <c r="I1937" s="597"/>
      <c r="J1937" s="323" t="s">
        <v>4666</v>
      </c>
    </row>
    <row r="1938" spans="1:10" x14ac:dyDescent="0.25">
      <c r="A1938" s="321">
        <v>42968.138356481482</v>
      </c>
      <c r="B1938" s="323" t="s">
        <v>127</v>
      </c>
      <c r="D1938" s="392" t="s">
        <v>4664</v>
      </c>
      <c r="E1938" s="387">
        <v>350197</v>
      </c>
      <c r="F1938" s="597"/>
      <c r="G1938" s="578">
        <v>25.3</v>
      </c>
      <c r="H1938" s="597">
        <v>3549888</v>
      </c>
      <c r="I1938" s="597"/>
      <c r="J1938" s="323" t="s">
        <v>4666</v>
      </c>
    </row>
    <row r="1939" spans="1:10" x14ac:dyDescent="0.25">
      <c r="A1939" s="321">
        <v>42968.212476851855</v>
      </c>
      <c r="B1939" s="323" t="s">
        <v>127</v>
      </c>
      <c r="D1939" s="392" t="s">
        <v>4664</v>
      </c>
      <c r="E1939" s="387">
        <v>350197</v>
      </c>
      <c r="F1939" s="597"/>
      <c r="G1939" s="578">
        <v>22.53</v>
      </c>
      <c r="H1939" s="597">
        <v>3550318</v>
      </c>
      <c r="I1939" s="597"/>
      <c r="J1939" s="323" t="s">
        <v>4666</v>
      </c>
    </row>
    <row r="1940" spans="1:10" x14ac:dyDescent="0.25">
      <c r="A1940" s="321">
        <v>42971.25136574074</v>
      </c>
      <c r="B1940" s="323" t="s">
        <v>127</v>
      </c>
      <c r="D1940" s="392" t="s">
        <v>4664</v>
      </c>
      <c r="E1940" s="387">
        <v>350197</v>
      </c>
      <c r="F1940" s="597"/>
      <c r="G1940" s="578">
        <v>12.13</v>
      </c>
      <c r="H1940" s="597">
        <v>3566050</v>
      </c>
      <c r="I1940" s="597"/>
      <c r="J1940" s="323" t="s">
        <v>4666</v>
      </c>
    </row>
    <row r="1941" spans="1:10" x14ac:dyDescent="0.25">
      <c r="A1941" s="321">
        <v>42978</v>
      </c>
      <c r="B1941" s="323" t="s">
        <v>127</v>
      </c>
      <c r="D1941" s="392" t="s">
        <v>2812</v>
      </c>
      <c r="E1941" s="387">
        <v>916</v>
      </c>
      <c r="F1941" s="597"/>
      <c r="G1941" s="578">
        <f>25.22+29.86</f>
        <v>55.08</v>
      </c>
      <c r="H1941" s="597">
        <v>3588541</v>
      </c>
      <c r="I1941" s="597"/>
      <c r="J1941" s="323" t="s">
        <v>182</v>
      </c>
    </row>
    <row r="1942" spans="1:10" x14ac:dyDescent="0.25">
      <c r="A1942" s="321" t="s">
        <v>4669</v>
      </c>
      <c r="B1942" s="323" t="s">
        <v>121</v>
      </c>
      <c r="C1942" s="323" t="s">
        <v>238</v>
      </c>
      <c r="D1942" s="392" t="s">
        <v>269</v>
      </c>
      <c r="E1942" s="387">
        <v>216328</v>
      </c>
      <c r="F1942" s="597" t="s">
        <v>4688</v>
      </c>
      <c r="G1942" s="578">
        <v>81.66</v>
      </c>
      <c r="H1942" s="597">
        <v>3609556</v>
      </c>
      <c r="I1942" s="597"/>
      <c r="J1942" s="323" t="s">
        <v>4686</v>
      </c>
    </row>
    <row r="1943" spans="1:10" x14ac:dyDescent="0.25">
      <c r="A1943" s="321" t="s">
        <v>4669</v>
      </c>
      <c r="B1943" s="323" t="s">
        <v>121</v>
      </c>
      <c r="C1943" s="323" t="s">
        <v>238</v>
      </c>
      <c r="D1943" s="392" t="s">
        <v>2320</v>
      </c>
      <c r="E1943" s="387">
        <v>351288</v>
      </c>
      <c r="F1943" s="597" t="s">
        <v>4693</v>
      </c>
      <c r="G1943" s="578">
        <v>52.65</v>
      </c>
      <c r="H1943" s="597">
        <v>3620329</v>
      </c>
      <c r="I1943" s="597"/>
      <c r="J1943" s="323" t="s">
        <v>4692</v>
      </c>
    </row>
    <row r="1944" spans="1:10" x14ac:dyDescent="0.25">
      <c r="A1944" s="321" t="s">
        <v>4669</v>
      </c>
      <c r="B1944" s="323" t="s">
        <v>121</v>
      </c>
      <c r="C1944" s="323" t="s">
        <v>238</v>
      </c>
      <c r="D1944" s="392" t="s">
        <v>2030</v>
      </c>
      <c r="E1944" s="387">
        <v>226408</v>
      </c>
      <c r="F1944" s="597" t="s">
        <v>4700</v>
      </c>
      <c r="G1944" s="578">
        <v>133.36000000000001</v>
      </c>
      <c r="H1944" s="597">
        <v>3621056</v>
      </c>
      <c r="I1944" s="597"/>
      <c r="J1944" s="323" t="s">
        <v>4699</v>
      </c>
    </row>
    <row r="1945" spans="1:10" x14ac:dyDescent="0.25">
      <c r="A1945" s="321" t="s">
        <v>4669</v>
      </c>
      <c r="B1945" s="323" t="s">
        <v>121</v>
      </c>
      <c r="C1945" s="323" t="s">
        <v>238</v>
      </c>
      <c r="D1945" s="392" t="s">
        <v>4570</v>
      </c>
      <c r="E1945" s="387">
        <v>352520</v>
      </c>
      <c r="F1945" s="597" t="s">
        <v>4682</v>
      </c>
      <c r="G1945" s="578">
        <v>65.83</v>
      </c>
      <c r="H1945" s="597">
        <v>3621375</v>
      </c>
      <c r="I1945" s="597"/>
      <c r="J1945" s="323" t="s">
        <v>4679</v>
      </c>
    </row>
    <row r="1946" spans="1:10" x14ac:dyDescent="0.25">
      <c r="A1946" s="321" t="s">
        <v>4669</v>
      </c>
      <c r="B1946" s="323" t="s">
        <v>121</v>
      </c>
      <c r="C1946" s="323" t="s">
        <v>238</v>
      </c>
      <c r="D1946" s="392" t="s">
        <v>3482</v>
      </c>
      <c r="E1946" s="387">
        <v>218435</v>
      </c>
      <c r="F1946" s="597" t="s">
        <v>4687</v>
      </c>
      <c r="G1946" s="578">
        <v>79.959999999999994</v>
      </c>
      <c r="H1946" s="597">
        <v>3622418</v>
      </c>
      <c r="I1946" s="597"/>
      <c r="J1946" s="323" t="s">
        <v>4685</v>
      </c>
    </row>
    <row r="1947" spans="1:10" x14ac:dyDescent="0.25">
      <c r="A1947" s="321" t="s">
        <v>4669</v>
      </c>
      <c r="B1947" s="323" t="s">
        <v>121</v>
      </c>
      <c r="C1947" s="323" t="s">
        <v>238</v>
      </c>
      <c r="D1947" s="392" t="s">
        <v>1248</v>
      </c>
      <c r="E1947" s="387">
        <v>222695</v>
      </c>
      <c r="F1947" s="597" t="s">
        <v>4672</v>
      </c>
      <c r="G1947" s="578">
        <v>44.05</v>
      </c>
      <c r="H1947" s="597">
        <v>3626204</v>
      </c>
      <c r="I1947" s="597"/>
      <c r="J1947" s="323" t="s">
        <v>4668</v>
      </c>
    </row>
    <row r="1948" spans="1:10" x14ac:dyDescent="0.25">
      <c r="A1948" s="321" t="s">
        <v>4669</v>
      </c>
      <c r="B1948" s="323" t="s">
        <v>121</v>
      </c>
      <c r="C1948" s="323" t="s">
        <v>238</v>
      </c>
      <c r="D1948" s="392" t="s">
        <v>2769</v>
      </c>
      <c r="E1948" s="387">
        <v>351138</v>
      </c>
      <c r="F1948" s="597" t="s">
        <v>4675</v>
      </c>
      <c r="G1948" s="578">
        <v>60.64</v>
      </c>
      <c r="H1948" s="597">
        <v>3626622</v>
      </c>
      <c r="I1948" s="597"/>
      <c r="J1948" s="323" t="s">
        <v>4674</v>
      </c>
    </row>
    <row r="1949" spans="1:10" x14ac:dyDescent="0.25">
      <c r="A1949" s="321" t="s">
        <v>4669</v>
      </c>
      <c r="B1949" s="323" t="s">
        <v>121</v>
      </c>
      <c r="C1949" s="323" t="s">
        <v>238</v>
      </c>
      <c r="D1949" s="392" t="s">
        <v>2729</v>
      </c>
      <c r="E1949" s="387">
        <v>350799</v>
      </c>
      <c r="F1949" s="597" t="s">
        <v>4677</v>
      </c>
      <c r="G1949" s="578">
        <v>63.95</v>
      </c>
      <c r="H1949" s="597">
        <v>3633569</v>
      </c>
      <c r="I1949" s="597"/>
      <c r="J1949" s="323" t="s">
        <v>4676</v>
      </c>
    </row>
    <row r="1950" spans="1:10" x14ac:dyDescent="0.25">
      <c r="A1950" s="321" t="s">
        <v>4669</v>
      </c>
      <c r="B1950" s="323" t="s">
        <v>121</v>
      </c>
      <c r="C1950" s="323" t="s">
        <v>238</v>
      </c>
      <c r="D1950" s="392" t="s">
        <v>3612</v>
      </c>
      <c r="E1950" s="387">
        <v>351930</v>
      </c>
      <c r="F1950" s="597" t="s">
        <v>4683</v>
      </c>
      <c r="G1950" s="578">
        <v>65.95</v>
      </c>
      <c r="H1950" s="597">
        <v>3637181</v>
      </c>
      <c r="I1950" s="597"/>
      <c r="J1950" s="323" t="s">
        <v>4680</v>
      </c>
    </row>
    <row r="1951" spans="1:10" x14ac:dyDescent="0.25">
      <c r="A1951" s="321" t="s">
        <v>4669</v>
      </c>
      <c r="B1951" s="323" t="s">
        <v>121</v>
      </c>
      <c r="C1951" s="323" t="s">
        <v>238</v>
      </c>
      <c r="D1951" s="392" t="s">
        <v>4670</v>
      </c>
      <c r="E1951" s="387">
        <v>353870</v>
      </c>
      <c r="F1951" s="597"/>
      <c r="G1951" s="578">
        <v>48.9</v>
      </c>
      <c r="H1951" s="597"/>
      <c r="I1951" s="597"/>
      <c r="J1951" s="323" t="s">
        <v>2374</v>
      </c>
    </row>
    <row r="1952" spans="1:10" x14ac:dyDescent="0.25">
      <c r="A1952" s="321" t="s">
        <v>4669</v>
      </c>
      <c r="B1952" s="323" t="s">
        <v>121</v>
      </c>
      <c r="C1952" s="323" t="s">
        <v>238</v>
      </c>
      <c r="D1952" s="392" t="s">
        <v>4701</v>
      </c>
      <c r="E1952" s="387">
        <v>351756</v>
      </c>
      <c r="F1952" s="597"/>
      <c r="G1952" s="578">
        <v>120.02</v>
      </c>
      <c r="H1952" s="597"/>
      <c r="I1952" s="597"/>
      <c r="J1952" s="323" t="s">
        <v>2374</v>
      </c>
    </row>
    <row r="1953" spans="1:10" x14ac:dyDescent="0.25">
      <c r="A1953" s="321" t="s">
        <v>4669</v>
      </c>
      <c r="B1953" s="323" t="s">
        <v>121</v>
      </c>
      <c r="C1953" s="323" t="s">
        <v>2689</v>
      </c>
      <c r="D1953" s="392" t="s">
        <v>1979</v>
      </c>
      <c r="E1953" s="387">
        <v>352741</v>
      </c>
      <c r="F1953" s="597" t="s">
        <v>4673</v>
      </c>
      <c r="G1953" s="578">
        <v>51.65</v>
      </c>
      <c r="H1953" s="597">
        <v>3602748</v>
      </c>
      <c r="I1953" s="597"/>
      <c r="J1953" s="323" t="s">
        <v>4671</v>
      </c>
    </row>
    <row r="1954" spans="1:10" x14ac:dyDescent="0.25">
      <c r="A1954" s="321" t="s">
        <v>4669</v>
      </c>
      <c r="B1954" s="323" t="s">
        <v>121</v>
      </c>
      <c r="C1954" s="323" t="s">
        <v>2689</v>
      </c>
      <c r="D1954" s="392" t="s">
        <v>1227</v>
      </c>
      <c r="E1954" s="387">
        <v>350414</v>
      </c>
      <c r="F1954" s="597" t="s">
        <v>4698</v>
      </c>
      <c r="G1954" s="578">
        <v>127.88</v>
      </c>
      <c r="H1954" s="597">
        <v>3612346</v>
      </c>
      <c r="I1954" s="597"/>
      <c r="J1954" s="323" t="s">
        <v>4697</v>
      </c>
    </row>
    <row r="1955" spans="1:10" x14ac:dyDescent="0.25">
      <c r="A1955" s="321" t="s">
        <v>4669</v>
      </c>
      <c r="B1955" s="323" t="s">
        <v>121</v>
      </c>
      <c r="D1955" s="392" t="s">
        <v>4694</v>
      </c>
      <c r="E1955" s="387">
        <v>352450</v>
      </c>
      <c r="F1955" s="597" t="s">
        <v>4696</v>
      </c>
      <c r="G1955" s="578">
        <v>59.21</v>
      </c>
      <c r="H1955" s="597">
        <v>3600639</v>
      </c>
      <c r="I1955" s="597"/>
      <c r="J1955" s="323" t="s">
        <v>4702</v>
      </c>
    </row>
    <row r="1956" spans="1:10" x14ac:dyDescent="0.25">
      <c r="A1956" s="321" t="s">
        <v>4669</v>
      </c>
      <c r="B1956" s="323" t="s">
        <v>121</v>
      </c>
      <c r="D1956" s="392" t="s">
        <v>4694</v>
      </c>
      <c r="E1956" s="387">
        <v>352450</v>
      </c>
      <c r="F1956" s="597" t="s">
        <v>4695</v>
      </c>
      <c r="G1956" s="578">
        <v>59.21</v>
      </c>
      <c r="H1956" s="597">
        <v>3608843</v>
      </c>
      <c r="I1956" s="597"/>
      <c r="J1956" s="323" t="s">
        <v>4702</v>
      </c>
    </row>
    <row r="1957" spans="1:10" x14ac:dyDescent="0.25">
      <c r="A1957" s="321" t="s">
        <v>4669</v>
      </c>
      <c r="B1957" s="323" t="s">
        <v>121</v>
      </c>
      <c r="D1957" s="392" t="s">
        <v>4690</v>
      </c>
      <c r="E1957" s="387">
        <v>351951</v>
      </c>
      <c r="F1957" s="597" t="s">
        <v>4691</v>
      </c>
      <c r="G1957" s="578">
        <v>101.95</v>
      </c>
      <c r="H1957" s="597">
        <v>3608984</v>
      </c>
      <c r="I1957" s="597"/>
      <c r="J1957" s="323" t="s">
        <v>4689</v>
      </c>
    </row>
    <row r="1958" spans="1:10" x14ac:dyDescent="0.25">
      <c r="A1958" s="321" t="s">
        <v>4669</v>
      </c>
      <c r="B1958" s="323" t="s">
        <v>121</v>
      </c>
      <c r="C1958" s="323" t="s">
        <v>238</v>
      </c>
      <c r="D1958" s="392" t="s">
        <v>4678</v>
      </c>
      <c r="E1958" s="387">
        <v>352069</v>
      </c>
      <c r="F1958" s="597" t="s">
        <v>4684</v>
      </c>
      <c r="G1958" s="578">
        <v>66.16</v>
      </c>
      <c r="H1958" s="597">
        <v>3634795</v>
      </c>
      <c r="I1958" s="597"/>
      <c r="J1958" s="323" t="s">
        <v>4681</v>
      </c>
    </row>
    <row r="1959" spans="1:10" x14ac:dyDescent="0.25">
      <c r="A1959" s="321">
        <v>42983</v>
      </c>
      <c r="B1959" s="323" t="s">
        <v>127</v>
      </c>
      <c r="C1959" s="323" t="s">
        <v>4551</v>
      </c>
      <c r="D1959" s="392" t="s">
        <v>192</v>
      </c>
      <c r="E1959" s="387">
        <v>223720</v>
      </c>
      <c r="F1959" s="597"/>
      <c r="G1959" s="578">
        <f>8.21+62.52</f>
        <v>70.73</v>
      </c>
      <c r="H1959" s="597">
        <v>3552591</v>
      </c>
      <c r="I1959" s="597"/>
      <c r="J1959" s="323"/>
    </row>
    <row r="1960" spans="1:10" x14ac:dyDescent="0.25">
      <c r="A1960" s="321" t="s">
        <v>4703</v>
      </c>
      <c r="B1960" s="323" t="s">
        <v>121</v>
      </c>
      <c r="C1960" s="323" t="s">
        <v>2688</v>
      </c>
      <c r="D1960" s="392" t="s">
        <v>1227</v>
      </c>
      <c r="E1960" s="387">
        <v>350414</v>
      </c>
      <c r="F1960" s="597" t="s">
        <v>4698</v>
      </c>
      <c r="G1960" s="578">
        <v>-127.88</v>
      </c>
      <c r="H1960" s="597">
        <v>3612346</v>
      </c>
      <c r="I1960" s="597"/>
      <c r="J1960" s="323" t="s">
        <v>4704</v>
      </c>
    </row>
    <row r="1961" spans="1:10" x14ac:dyDescent="0.25">
      <c r="A1961" s="321" t="s">
        <v>4703</v>
      </c>
      <c r="B1961" s="323" t="s">
        <v>121</v>
      </c>
      <c r="C1961" s="323" t="s">
        <v>2688</v>
      </c>
      <c r="D1961" s="392" t="s">
        <v>1979</v>
      </c>
      <c r="E1961" s="387">
        <v>352741</v>
      </c>
      <c r="F1961" s="597" t="s">
        <v>4673</v>
      </c>
      <c r="G1961" s="578">
        <v>-51.65</v>
      </c>
      <c r="H1961" s="597">
        <v>3602748</v>
      </c>
      <c r="I1961" s="597"/>
      <c r="J1961" s="323" t="s">
        <v>4705</v>
      </c>
    </row>
    <row r="1962" spans="1:10" x14ac:dyDescent="0.25">
      <c r="A1962" s="321" t="s">
        <v>4703</v>
      </c>
      <c r="B1962" s="323" t="s">
        <v>121</v>
      </c>
      <c r="C1962" s="323" t="s">
        <v>238</v>
      </c>
      <c r="D1962" s="392" t="s">
        <v>4756</v>
      </c>
      <c r="E1962" s="387">
        <v>217377</v>
      </c>
      <c r="F1962" s="597" t="s">
        <v>4801</v>
      </c>
      <c r="G1962" s="578">
        <v>80.95</v>
      </c>
      <c r="H1962" s="597">
        <v>3633061</v>
      </c>
      <c r="I1962" s="597"/>
      <c r="J1962" s="323" t="s">
        <v>4755</v>
      </c>
    </row>
    <row r="1963" spans="1:10" x14ac:dyDescent="0.25">
      <c r="A1963" s="321" t="s">
        <v>4703</v>
      </c>
      <c r="B1963" s="323" t="s">
        <v>121</v>
      </c>
      <c r="C1963" s="323" t="s">
        <v>238</v>
      </c>
      <c r="D1963" s="392" t="s">
        <v>77</v>
      </c>
      <c r="E1963" s="387">
        <v>351085</v>
      </c>
      <c r="F1963" s="597" t="s">
        <v>4791</v>
      </c>
      <c r="G1963" s="578">
        <v>110.85</v>
      </c>
      <c r="H1963" s="597">
        <v>3633097</v>
      </c>
      <c r="I1963" s="597"/>
      <c r="J1963" s="323" t="s">
        <v>4707</v>
      </c>
    </row>
    <row r="1964" spans="1:10" x14ac:dyDescent="0.25">
      <c r="A1964" s="321" t="s">
        <v>4703</v>
      </c>
      <c r="B1964" s="323" t="s">
        <v>121</v>
      </c>
      <c r="C1964" s="323" t="s">
        <v>238</v>
      </c>
      <c r="D1964" s="392" t="s">
        <v>1436</v>
      </c>
      <c r="E1964" s="387">
        <v>216614</v>
      </c>
      <c r="F1964" s="597" t="s">
        <v>4765</v>
      </c>
      <c r="G1964" s="578">
        <v>30.69</v>
      </c>
      <c r="H1964" s="597">
        <v>3633145</v>
      </c>
      <c r="I1964" s="597"/>
      <c r="J1964" s="323" t="s">
        <v>4710</v>
      </c>
    </row>
    <row r="1965" spans="1:10" x14ac:dyDescent="0.25">
      <c r="A1965" s="321" t="s">
        <v>4703</v>
      </c>
      <c r="B1965" s="323" t="s">
        <v>121</v>
      </c>
      <c r="C1965" s="323" t="s">
        <v>238</v>
      </c>
      <c r="D1965" s="392" t="s">
        <v>4003</v>
      </c>
      <c r="E1965" s="387">
        <v>218036</v>
      </c>
      <c r="F1965" s="597" t="s">
        <v>4795</v>
      </c>
      <c r="G1965" s="578">
        <v>84.75</v>
      </c>
      <c r="H1965" s="597">
        <v>3633164</v>
      </c>
      <c r="I1965" s="597"/>
      <c r="J1965" s="323" t="s">
        <v>4757</v>
      </c>
    </row>
    <row r="1966" spans="1:10" x14ac:dyDescent="0.25">
      <c r="A1966" s="321" t="s">
        <v>4703</v>
      </c>
      <c r="B1966" s="323" t="s">
        <v>121</v>
      </c>
      <c r="C1966" s="323" t="s">
        <v>238</v>
      </c>
      <c r="D1966" s="392" t="s">
        <v>2921</v>
      </c>
      <c r="E1966" s="387">
        <v>351642</v>
      </c>
      <c r="F1966" s="597" t="s">
        <v>4772</v>
      </c>
      <c r="G1966" s="578">
        <v>38.68</v>
      </c>
      <c r="H1966" s="597">
        <v>3633168</v>
      </c>
      <c r="I1966" s="597"/>
      <c r="J1966" s="323" t="s">
        <v>4719</v>
      </c>
    </row>
    <row r="1967" spans="1:10" x14ac:dyDescent="0.25">
      <c r="A1967" s="321" t="s">
        <v>4703</v>
      </c>
      <c r="B1967" s="323" t="s">
        <v>121</v>
      </c>
      <c r="C1967" s="323" t="s">
        <v>238</v>
      </c>
      <c r="D1967" s="392" t="s">
        <v>2145</v>
      </c>
      <c r="E1967" s="387">
        <v>351694</v>
      </c>
      <c r="F1967" s="597" t="s">
        <v>4789</v>
      </c>
      <c r="G1967" s="578">
        <v>70.95</v>
      </c>
      <c r="H1967" s="597">
        <v>3633224</v>
      </c>
      <c r="I1967" s="597"/>
      <c r="J1967" s="323" t="s">
        <v>4744</v>
      </c>
    </row>
    <row r="1968" spans="1:10" x14ac:dyDescent="0.25">
      <c r="A1968" s="321" t="s">
        <v>4703</v>
      </c>
      <c r="B1968" s="323" t="s">
        <v>121</v>
      </c>
      <c r="C1968" s="323" t="s">
        <v>238</v>
      </c>
      <c r="D1968" s="392" t="s">
        <v>4727</v>
      </c>
      <c r="E1968" s="387">
        <v>351136</v>
      </c>
      <c r="F1968" s="597" t="s">
        <v>4774</v>
      </c>
      <c r="G1968" s="578">
        <v>43.82</v>
      </c>
      <c r="H1968" s="597">
        <v>3633233</v>
      </c>
      <c r="I1968" s="597"/>
      <c r="J1968" s="323" t="s">
        <v>4723</v>
      </c>
    </row>
    <row r="1969" spans="1:10" x14ac:dyDescent="0.25">
      <c r="A1969" s="321" t="s">
        <v>4703</v>
      </c>
      <c r="B1969" s="323" t="s">
        <v>121</v>
      </c>
      <c r="C1969" s="323" t="s">
        <v>238</v>
      </c>
      <c r="D1969" s="392" t="s">
        <v>4741</v>
      </c>
      <c r="E1969" s="387">
        <v>35010</v>
      </c>
      <c r="F1969" s="597" t="s">
        <v>4783</v>
      </c>
      <c r="G1969" s="578">
        <v>64.61</v>
      </c>
      <c r="H1969" s="597">
        <v>3633268</v>
      </c>
      <c r="I1969" s="597"/>
      <c r="J1969" s="323" t="s">
        <v>4735</v>
      </c>
    </row>
    <row r="1970" spans="1:10" x14ac:dyDescent="0.25">
      <c r="A1970" s="321" t="s">
        <v>4703</v>
      </c>
      <c r="B1970" s="323" t="s">
        <v>121</v>
      </c>
      <c r="C1970" s="323" t="s">
        <v>238</v>
      </c>
      <c r="D1970" s="392" t="s">
        <v>1220</v>
      </c>
      <c r="E1970" s="387">
        <v>211954</v>
      </c>
      <c r="F1970" s="597" t="s">
        <v>4811</v>
      </c>
      <c r="G1970" s="578">
        <v>87.9</v>
      </c>
      <c r="H1970" s="597" t="s">
        <v>4814</v>
      </c>
      <c r="I1970" s="597"/>
      <c r="J1970" s="323" t="s">
        <v>4748</v>
      </c>
    </row>
    <row r="1971" spans="1:10" x14ac:dyDescent="0.25">
      <c r="A1971" s="321" t="s">
        <v>4703</v>
      </c>
      <c r="B1971" s="323" t="s">
        <v>121</v>
      </c>
      <c r="C1971" s="323" t="s">
        <v>238</v>
      </c>
      <c r="D1971" s="392" t="s">
        <v>4753</v>
      </c>
      <c r="E1971" s="387">
        <v>351507</v>
      </c>
      <c r="F1971" s="597" t="s">
        <v>4800</v>
      </c>
      <c r="G1971" s="578">
        <v>98.73</v>
      </c>
      <c r="H1971" s="597">
        <v>3633294</v>
      </c>
      <c r="I1971" s="597"/>
      <c r="J1971" s="323" t="s">
        <v>4751</v>
      </c>
    </row>
    <row r="1972" spans="1:10" x14ac:dyDescent="0.25">
      <c r="A1972" s="321" t="s">
        <v>4703</v>
      </c>
      <c r="B1972" s="323" t="s">
        <v>121</v>
      </c>
      <c r="C1972" s="323" t="s">
        <v>238</v>
      </c>
      <c r="D1972" s="392" t="s">
        <v>2996</v>
      </c>
      <c r="E1972" s="387">
        <v>351086</v>
      </c>
      <c r="F1972" s="597" t="s">
        <v>4787</v>
      </c>
      <c r="G1972" s="578">
        <v>69.39</v>
      </c>
      <c r="H1972" s="597">
        <v>3633305</v>
      </c>
      <c r="I1972" s="597"/>
      <c r="J1972" s="323" t="s">
        <v>4739</v>
      </c>
    </row>
    <row r="1973" spans="1:10" x14ac:dyDescent="0.25">
      <c r="A1973" s="321" t="s">
        <v>4703</v>
      </c>
      <c r="B1973" s="323" t="s">
        <v>121</v>
      </c>
      <c r="C1973" s="323" t="s">
        <v>238</v>
      </c>
      <c r="D1973" s="392" t="s">
        <v>2804</v>
      </c>
      <c r="E1973" s="387">
        <v>351160</v>
      </c>
      <c r="F1973" s="597" t="s">
        <v>4781</v>
      </c>
      <c r="G1973" s="578">
        <v>52.51</v>
      </c>
      <c r="H1973" s="597">
        <v>3633326</v>
      </c>
      <c r="I1973" s="597"/>
      <c r="J1973" s="323" t="s">
        <v>4733</v>
      </c>
    </row>
    <row r="1974" spans="1:10" x14ac:dyDescent="0.25">
      <c r="A1974" s="321" t="s">
        <v>4703</v>
      </c>
      <c r="B1974" s="323" t="s">
        <v>121</v>
      </c>
      <c r="C1974" s="323" t="s">
        <v>238</v>
      </c>
      <c r="D1974" s="392" t="s">
        <v>4714</v>
      </c>
      <c r="E1974" s="387">
        <v>351247</v>
      </c>
      <c r="F1974" s="597" t="s">
        <v>4767</v>
      </c>
      <c r="G1974" s="578">
        <v>30.95</v>
      </c>
      <c r="H1974" s="597">
        <v>3633357</v>
      </c>
      <c r="I1974" s="597"/>
      <c r="J1974" s="323" t="s">
        <v>4712</v>
      </c>
    </row>
    <row r="1975" spans="1:10" x14ac:dyDescent="0.25">
      <c r="A1975" s="321" t="s">
        <v>4703</v>
      </c>
      <c r="B1975" s="323" t="s">
        <v>121</v>
      </c>
      <c r="C1975" s="323" t="s">
        <v>238</v>
      </c>
      <c r="D1975" s="392" t="s">
        <v>3672</v>
      </c>
      <c r="E1975" s="387">
        <v>350097</v>
      </c>
      <c r="F1975" s="597" t="s">
        <v>4776</v>
      </c>
      <c r="G1975" s="578">
        <v>44.53</v>
      </c>
      <c r="H1975" s="597">
        <v>3633371</v>
      </c>
      <c r="I1975" s="597"/>
      <c r="J1975" s="323" t="s">
        <v>4725</v>
      </c>
    </row>
    <row r="1976" spans="1:10" x14ac:dyDescent="0.25">
      <c r="A1976" s="321" t="s">
        <v>4703</v>
      </c>
      <c r="B1976" s="323" t="s">
        <v>121</v>
      </c>
      <c r="C1976" s="323" t="s">
        <v>238</v>
      </c>
      <c r="D1976" s="392" t="s">
        <v>4721</v>
      </c>
      <c r="E1976" s="387">
        <v>352377</v>
      </c>
      <c r="F1976" s="597" t="s">
        <v>4771</v>
      </c>
      <c r="G1976" s="578">
        <v>67.099999999999994</v>
      </c>
      <c r="H1976" s="597">
        <v>3633373</v>
      </c>
      <c r="I1976" s="597"/>
      <c r="J1976" s="323" t="s">
        <v>4718</v>
      </c>
    </row>
    <row r="1977" spans="1:10" x14ac:dyDescent="0.25">
      <c r="A1977" s="321" t="s">
        <v>4703</v>
      </c>
      <c r="B1977" s="323" t="s">
        <v>121</v>
      </c>
      <c r="C1977" s="323" t="s">
        <v>238</v>
      </c>
      <c r="D1977" s="392" t="s">
        <v>2980</v>
      </c>
      <c r="E1977" s="387">
        <v>352420</v>
      </c>
      <c r="F1977" s="597" t="s">
        <v>4778</v>
      </c>
      <c r="G1977" s="578">
        <v>49.22</v>
      </c>
      <c r="H1977" s="597">
        <v>3633384</v>
      </c>
      <c r="I1977" s="597"/>
      <c r="J1977" s="323" t="s">
        <v>4729</v>
      </c>
    </row>
    <row r="1978" spans="1:10" x14ac:dyDescent="0.25">
      <c r="A1978" s="321" t="s">
        <v>4703</v>
      </c>
      <c r="B1978" s="323" t="s">
        <v>121</v>
      </c>
      <c r="C1978" s="323" t="s">
        <v>238</v>
      </c>
      <c r="D1978" s="392" t="s">
        <v>4760</v>
      </c>
      <c r="E1978" s="387">
        <v>351143</v>
      </c>
      <c r="F1978" s="597" t="s">
        <v>4796</v>
      </c>
      <c r="G1978" s="578">
        <v>40.950000000000003</v>
      </c>
      <c r="H1978" s="597" t="s">
        <v>4817</v>
      </c>
      <c r="I1978" s="597"/>
      <c r="J1978" s="323" t="s">
        <v>4759</v>
      </c>
    </row>
    <row r="1979" spans="1:10" x14ac:dyDescent="0.25">
      <c r="A1979" s="321" t="s">
        <v>4703</v>
      </c>
      <c r="B1979" s="323" t="s">
        <v>121</v>
      </c>
      <c r="C1979" s="323" t="s">
        <v>238</v>
      </c>
      <c r="D1979" s="605" t="s">
        <v>3564</v>
      </c>
      <c r="E1979" s="387">
        <v>351812</v>
      </c>
      <c r="F1979" s="597" t="s">
        <v>4824</v>
      </c>
      <c r="G1979" s="578">
        <v>38.950000000000003</v>
      </c>
      <c r="H1979" s="597">
        <v>3633415</v>
      </c>
      <c r="I1979" s="597"/>
      <c r="J1979" s="323" t="s">
        <v>4822</v>
      </c>
    </row>
    <row r="1980" spans="1:10" x14ac:dyDescent="0.25">
      <c r="A1980" s="321" t="s">
        <v>4703</v>
      </c>
      <c r="B1980" s="323" t="s">
        <v>121</v>
      </c>
      <c r="C1980" s="323" t="s">
        <v>238</v>
      </c>
      <c r="D1980" s="392" t="s">
        <v>2120</v>
      </c>
      <c r="E1980" s="387">
        <v>202</v>
      </c>
      <c r="F1980" s="597" t="s">
        <v>4785</v>
      </c>
      <c r="G1980" s="578">
        <v>68.11</v>
      </c>
      <c r="H1980" s="597">
        <v>3633454</v>
      </c>
      <c r="I1980" s="597"/>
      <c r="J1980" s="323" t="s">
        <v>4737</v>
      </c>
    </row>
    <row r="1981" spans="1:10" x14ac:dyDescent="0.25">
      <c r="A1981" s="321" t="s">
        <v>4703</v>
      </c>
      <c r="B1981" s="323" t="s">
        <v>121</v>
      </c>
      <c r="C1981" s="323" t="s">
        <v>238</v>
      </c>
      <c r="D1981" s="392" t="s">
        <v>396</v>
      </c>
      <c r="E1981" s="387">
        <v>350503</v>
      </c>
      <c r="F1981" s="597" t="s">
        <v>4763</v>
      </c>
      <c r="G1981" s="578">
        <v>43.72</v>
      </c>
      <c r="H1981" s="597">
        <v>3633497</v>
      </c>
      <c r="I1981" s="597"/>
      <c r="J1981" s="323" t="s">
        <v>4708</v>
      </c>
    </row>
    <row r="1982" spans="1:10" x14ac:dyDescent="0.25">
      <c r="A1982" s="321" t="s">
        <v>4703</v>
      </c>
      <c r="B1982" s="323" t="s">
        <v>121</v>
      </c>
      <c r="C1982" s="323" t="s">
        <v>238</v>
      </c>
      <c r="D1982" s="392" t="s">
        <v>4760</v>
      </c>
      <c r="E1982" s="387">
        <v>351143</v>
      </c>
      <c r="F1982" s="597" t="s">
        <v>4804</v>
      </c>
      <c r="G1982" s="578">
        <v>107.85</v>
      </c>
      <c r="H1982" s="597">
        <v>3633516</v>
      </c>
      <c r="I1982" s="597"/>
      <c r="J1982" s="323" t="s">
        <v>4759</v>
      </c>
    </row>
    <row r="1983" spans="1:10" x14ac:dyDescent="0.25">
      <c r="A1983" s="321" t="s">
        <v>4703</v>
      </c>
      <c r="B1983" s="323" t="s">
        <v>121</v>
      </c>
      <c r="C1983" s="323" t="s">
        <v>238</v>
      </c>
      <c r="D1983" s="392" t="s">
        <v>4720</v>
      </c>
      <c r="E1983" s="387">
        <v>352901</v>
      </c>
      <c r="F1983" s="597" t="s">
        <v>4770</v>
      </c>
      <c r="G1983" s="578">
        <v>36.950000000000003</v>
      </c>
      <c r="H1983" s="597">
        <v>3633558</v>
      </c>
      <c r="I1983" s="597"/>
      <c r="J1983" s="323" t="s">
        <v>4717</v>
      </c>
    </row>
    <row r="1984" spans="1:10" x14ac:dyDescent="0.25">
      <c r="A1984" s="321" t="s">
        <v>4703</v>
      </c>
      <c r="B1984" s="323" t="s">
        <v>121</v>
      </c>
      <c r="C1984" s="323" t="s">
        <v>238</v>
      </c>
      <c r="D1984" s="392" t="s">
        <v>4756</v>
      </c>
      <c r="E1984" s="387">
        <v>217377</v>
      </c>
      <c r="F1984" s="597" t="s">
        <v>4794</v>
      </c>
      <c r="G1984" s="578">
        <v>35.950000000000003</v>
      </c>
      <c r="H1984" s="597">
        <v>3633560</v>
      </c>
      <c r="I1984" s="597"/>
      <c r="J1984" s="323" t="s">
        <v>4755</v>
      </c>
    </row>
    <row r="1985" spans="1:10" x14ac:dyDescent="0.25">
      <c r="A1985" s="321" t="s">
        <v>4703</v>
      </c>
      <c r="B1985" s="323" t="s">
        <v>121</v>
      </c>
      <c r="C1985" s="323" t="s">
        <v>238</v>
      </c>
      <c r="D1985" s="392" t="s">
        <v>2098</v>
      </c>
      <c r="E1985" s="387">
        <v>351064</v>
      </c>
      <c r="F1985" s="597" t="s">
        <v>4779</v>
      </c>
      <c r="G1985" s="578">
        <v>49.33</v>
      </c>
      <c r="H1985" s="597">
        <v>3633564</v>
      </c>
      <c r="I1985" s="597"/>
      <c r="J1985" s="323" t="s">
        <v>4730</v>
      </c>
    </row>
    <row r="1986" spans="1:10" x14ac:dyDescent="0.25">
      <c r="A1986" s="321" t="s">
        <v>4703</v>
      </c>
      <c r="B1986" s="323" t="s">
        <v>121</v>
      </c>
      <c r="C1986" s="323" t="s">
        <v>238</v>
      </c>
      <c r="D1986" s="392" t="s">
        <v>1263</v>
      </c>
      <c r="E1986" s="387">
        <v>350372</v>
      </c>
      <c r="F1986" s="597" t="s">
        <v>4782</v>
      </c>
      <c r="G1986" s="578">
        <v>55.07</v>
      </c>
      <c r="H1986" s="597">
        <v>3633573</v>
      </c>
      <c r="I1986" s="597"/>
      <c r="J1986" s="323" t="s">
        <v>4734</v>
      </c>
    </row>
    <row r="1987" spans="1:10" x14ac:dyDescent="0.25">
      <c r="A1987" s="321" t="s">
        <v>4703</v>
      </c>
      <c r="B1987" s="323" t="s">
        <v>121</v>
      </c>
      <c r="C1987" s="323" t="s">
        <v>238</v>
      </c>
      <c r="D1987" s="392" t="s">
        <v>4754</v>
      </c>
      <c r="E1987" s="387">
        <v>350338</v>
      </c>
      <c r="F1987" s="597" t="s">
        <v>4816</v>
      </c>
      <c r="G1987" s="578">
        <v>63.95</v>
      </c>
      <c r="H1987" s="597">
        <v>3633579</v>
      </c>
      <c r="I1987" s="597"/>
      <c r="J1987" s="323" t="s">
        <v>4752</v>
      </c>
    </row>
    <row r="1988" spans="1:10" x14ac:dyDescent="0.25">
      <c r="A1988" s="321" t="s">
        <v>4703</v>
      </c>
      <c r="B1988" s="323" t="s">
        <v>121</v>
      </c>
      <c r="C1988" s="323" t="s">
        <v>238</v>
      </c>
      <c r="D1988" s="392" t="s">
        <v>4754</v>
      </c>
      <c r="E1988" s="387">
        <v>350338</v>
      </c>
      <c r="F1988" s="597" t="s">
        <v>4793</v>
      </c>
      <c r="G1988" s="578">
        <v>42.95</v>
      </c>
      <c r="H1988" s="597">
        <v>3633584</v>
      </c>
      <c r="I1988" s="597"/>
      <c r="J1988" s="323" t="s">
        <v>4752</v>
      </c>
    </row>
    <row r="1989" spans="1:10" x14ac:dyDescent="0.25">
      <c r="A1989" s="321" t="s">
        <v>4703</v>
      </c>
      <c r="B1989" s="323" t="s">
        <v>121</v>
      </c>
      <c r="C1989" s="323" t="s">
        <v>238</v>
      </c>
      <c r="D1989" s="392" t="s">
        <v>4003</v>
      </c>
      <c r="E1989" s="387">
        <v>218036</v>
      </c>
      <c r="F1989" s="597" t="s">
        <v>4802</v>
      </c>
      <c r="G1989" s="578">
        <v>49.77</v>
      </c>
      <c r="H1989" s="597">
        <v>3633598</v>
      </c>
      <c r="I1989" s="597"/>
      <c r="J1989" s="323" t="s">
        <v>4757</v>
      </c>
    </row>
    <row r="1990" spans="1:10" x14ac:dyDescent="0.25">
      <c r="A1990" s="321" t="s">
        <v>4703</v>
      </c>
      <c r="B1990" s="323" t="s">
        <v>121</v>
      </c>
      <c r="C1990" s="323" t="s">
        <v>238</v>
      </c>
      <c r="D1990" s="392" t="s">
        <v>3460</v>
      </c>
      <c r="E1990" s="387">
        <v>351428</v>
      </c>
      <c r="F1990" s="597" t="s">
        <v>4806</v>
      </c>
      <c r="G1990" s="578">
        <v>40.950000000000003</v>
      </c>
      <c r="H1990" s="597" t="s">
        <v>4819</v>
      </c>
      <c r="I1990" s="597"/>
      <c r="J1990" s="323" t="s">
        <v>4761</v>
      </c>
    </row>
    <row r="1991" spans="1:10" x14ac:dyDescent="0.25">
      <c r="A1991" s="321" t="s">
        <v>4703</v>
      </c>
      <c r="B1991" s="323" t="s">
        <v>121</v>
      </c>
      <c r="C1991" s="323" t="s">
        <v>238</v>
      </c>
      <c r="D1991" s="392" t="s">
        <v>2782</v>
      </c>
      <c r="E1991" s="387">
        <v>351490</v>
      </c>
      <c r="F1991" s="597" t="s">
        <v>4775</v>
      </c>
      <c r="G1991" s="578">
        <v>43.95</v>
      </c>
      <c r="H1991" s="597">
        <v>3633637</v>
      </c>
      <c r="I1991" s="597"/>
      <c r="J1991" s="323" t="s">
        <v>4724</v>
      </c>
    </row>
    <row r="1992" spans="1:10" x14ac:dyDescent="0.25">
      <c r="A1992" s="321" t="s">
        <v>4703</v>
      </c>
      <c r="B1992" s="323" t="s">
        <v>121</v>
      </c>
      <c r="C1992" s="323" t="s">
        <v>238</v>
      </c>
      <c r="D1992" s="392" t="s">
        <v>1526</v>
      </c>
      <c r="E1992" s="387">
        <v>351273</v>
      </c>
      <c r="F1992" s="597" t="s">
        <v>4790</v>
      </c>
      <c r="G1992" s="578">
        <v>71.95</v>
      </c>
      <c r="H1992" s="597">
        <v>3633639</v>
      </c>
      <c r="I1992" s="597"/>
      <c r="J1992" s="323" t="s">
        <v>4745</v>
      </c>
    </row>
    <row r="1993" spans="1:10" x14ac:dyDescent="0.25">
      <c r="A1993" s="321" t="s">
        <v>4703</v>
      </c>
      <c r="B1993" s="323" t="s">
        <v>121</v>
      </c>
      <c r="C1993" s="323" t="s">
        <v>238</v>
      </c>
      <c r="D1993" s="392" t="s">
        <v>3460</v>
      </c>
      <c r="E1993" s="387">
        <v>351428</v>
      </c>
      <c r="F1993" s="597" t="s">
        <v>4805</v>
      </c>
      <c r="G1993" s="578">
        <v>40.950000000000003</v>
      </c>
      <c r="H1993" s="597" t="s">
        <v>4818</v>
      </c>
      <c r="I1993" s="597"/>
      <c r="J1993" s="323" t="s">
        <v>4761</v>
      </c>
    </row>
    <row r="1994" spans="1:10" x14ac:dyDescent="0.25">
      <c r="A1994" s="321" t="s">
        <v>4703</v>
      </c>
      <c r="B1994" s="323" t="s">
        <v>121</v>
      </c>
      <c r="C1994" s="323" t="s">
        <v>238</v>
      </c>
      <c r="D1994" s="392" t="s">
        <v>4750</v>
      </c>
      <c r="E1994" s="387">
        <v>350085</v>
      </c>
      <c r="F1994" s="597" t="s">
        <v>4812</v>
      </c>
      <c r="G1994" s="578">
        <v>90.95</v>
      </c>
      <c r="H1994" s="597" t="s">
        <v>4815</v>
      </c>
      <c r="I1994" s="597"/>
      <c r="J1994" s="323" t="s">
        <v>4749</v>
      </c>
    </row>
    <row r="1995" spans="1:10" x14ac:dyDescent="0.25">
      <c r="A1995" s="321" t="s">
        <v>4703</v>
      </c>
      <c r="B1995" s="323" t="s">
        <v>121</v>
      </c>
      <c r="C1995" s="323" t="s">
        <v>238</v>
      </c>
      <c r="D1995" s="392" t="s">
        <v>3785</v>
      </c>
      <c r="E1995" s="387">
        <v>350594</v>
      </c>
      <c r="F1995" s="597" t="s">
        <v>4780</v>
      </c>
      <c r="G1995" s="578">
        <v>49.77</v>
      </c>
      <c r="H1995" s="597">
        <v>3633681</v>
      </c>
      <c r="I1995" s="597"/>
      <c r="J1995" s="323" t="s">
        <v>4731</v>
      </c>
    </row>
    <row r="1996" spans="1:10" x14ac:dyDescent="0.25">
      <c r="A1996" s="321" t="s">
        <v>4703</v>
      </c>
      <c r="B1996" s="323" t="s">
        <v>121</v>
      </c>
      <c r="C1996" s="323" t="s">
        <v>238</v>
      </c>
      <c r="D1996" s="392" t="s">
        <v>1446</v>
      </c>
      <c r="E1996" s="387">
        <v>350416</v>
      </c>
      <c r="F1996" s="597" t="s">
        <v>4809</v>
      </c>
      <c r="G1996" s="578">
        <v>77.11</v>
      </c>
      <c r="H1996" s="597" t="s">
        <v>4808</v>
      </c>
      <c r="I1996" s="597"/>
      <c r="J1996" s="323" t="s">
        <v>4746</v>
      </c>
    </row>
    <row r="1997" spans="1:10" x14ac:dyDescent="0.25">
      <c r="A1997" s="321" t="s">
        <v>4703</v>
      </c>
      <c r="B1997" s="323" t="s">
        <v>121</v>
      </c>
      <c r="C1997" s="323" t="s">
        <v>238</v>
      </c>
      <c r="D1997" s="392" t="s">
        <v>3460</v>
      </c>
      <c r="E1997" s="387">
        <v>351428</v>
      </c>
      <c r="F1997" s="597" t="s">
        <v>4807</v>
      </c>
      <c r="G1997" s="578">
        <v>70.95</v>
      </c>
      <c r="H1997" s="597" t="s">
        <v>4820</v>
      </c>
      <c r="I1997" s="597"/>
      <c r="J1997" s="323" t="s">
        <v>4761</v>
      </c>
    </row>
    <row r="1998" spans="1:10" x14ac:dyDescent="0.25">
      <c r="A1998" s="321" t="s">
        <v>4703</v>
      </c>
      <c r="B1998" s="323" t="s">
        <v>121</v>
      </c>
      <c r="C1998" s="323" t="s">
        <v>238</v>
      </c>
      <c r="D1998" s="392" t="s">
        <v>3850</v>
      </c>
      <c r="E1998" s="387">
        <v>350927</v>
      </c>
      <c r="F1998" s="597" t="s">
        <v>4769</v>
      </c>
      <c r="G1998" s="578">
        <v>36.950000000000003</v>
      </c>
      <c r="H1998" s="597">
        <v>3633703</v>
      </c>
      <c r="I1998" s="597"/>
      <c r="J1998" s="323" t="s">
        <v>4716</v>
      </c>
    </row>
    <row r="1999" spans="1:10" x14ac:dyDescent="0.25">
      <c r="A1999" s="321" t="s">
        <v>4703</v>
      </c>
      <c r="B1999" s="323" t="s">
        <v>121</v>
      </c>
      <c r="C1999" s="323" t="s">
        <v>238</v>
      </c>
      <c r="D1999" s="392" t="s">
        <v>1370</v>
      </c>
      <c r="E1999" s="387">
        <v>351162</v>
      </c>
      <c r="F1999" s="597" t="s">
        <v>4768</v>
      </c>
      <c r="G1999" s="578">
        <v>35.950000000000003</v>
      </c>
      <c r="H1999" s="597">
        <v>3633728</v>
      </c>
      <c r="I1999" s="597"/>
      <c r="J1999" s="323" t="s">
        <v>4715</v>
      </c>
    </row>
    <row r="2000" spans="1:10" x14ac:dyDescent="0.25">
      <c r="A2000" s="321" t="s">
        <v>4703</v>
      </c>
      <c r="B2000" s="323" t="s">
        <v>121</v>
      </c>
      <c r="C2000" s="323" t="s">
        <v>238</v>
      </c>
      <c r="D2000" s="392" t="s">
        <v>4569</v>
      </c>
      <c r="E2000" s="387">
        <v>352177</v>
      </c>
      <c r="F2000" s="597" t="s">
        <v>4799</v>
      </c>
      <c r="G2000" s="578">
        <v>46.1</v>
      </c>
      <c r="H2000" s="597">
        <v>3633751</v>
      </c>
      <c r="I2000" s="597"/>
      <c r="J2000" s="323" t="s">
        <v>4798</v>
      </c>
    </row>
    <row r="2001" spans="1:10" x14ac:dyDescent="0.25">
      <c r="A2001" s="321" t="s">
        <v>4703</v>
      </c>
      <c r="B2001" s="323" t="s">
        <v>121</v>
      </c>
      <c r="C2001" s="323" t="s">
        <v>238</v>
      </c>
      <c r="D2001" s="392" t="s">
        <v>4713</v>
      </c>
      <c r="E2001" s="387">
        <v>352304</v>
      </c>
      <c r="F2001" s="597" t="s">
        <v>4766</v>
      </c>
      <c r="G2001" s="578">
        <v>30.95</v>
      </c>
      <c r="H2001" s="597">
        <v>3633753</v>
      </c>
      <c r="I2001" s="597"/>
      <c r="J2001" s="323" t="s">
        <v>4711</v>
      </c>
    </row>
    <row r="2002" spans="1:10" x14ac:dyDescent="0.25">
      <c r="A2002" s="321" t="s">
        <v>4703</v>
      </c>
      <c r="B2002" s="323" t="s">
        <v>121</v>
      </c>
      <c r="C2002" s="323" t="s">
        <v>238</v>
      </c>
      <c r="D2002" s="392" t="s">
        <v>4732</v>
      </c>
      <c r="E2002" s="387">
        <v>350654</v>
      </c>
      <c r="F2002" s="597" t="s">
        <v>4777</v>
      </c>
      <c r="G2002" s="578">
        <v>45.95</v>
      </c>
      <c r="H2002" s="597">
        <v>3633759</v>
      </c>
      <c r="I2002" s="597"/>
      <c r="J2002" s="323" t="s">
        <v>4728</v>
      </c>
    </row>
    <row r="2003" spans="1:10" x14ac:dyDescent="0.25">
      <c r="A2003" s="321" t="s">
        <v>4703</v>
      </c>
      <c r="B2003" s="323" t="s">
        <v>121</v>
      </c>
      <c r="C2003" s="323" t="s">
        <v>238</v>
      </c>
      <c r="D2003" s="392" t="s">
        <v>4569</v>
      </c>
      <c r="E2003" s="387">
        <v>352177</v>
      </c>
      <c r="F2003" s="597" t="s">
        <v>4792</v>
      </c>
      <c r="G2003" s="578">
        <v>49.39</v>
      </c>
      <c r="H2003" s="597">
        <v>3633762</v>
      </c>
      <c r="I2003" s="597"/>
      <c r="J2003" s="323" t="s">
        <v>4798</v>
      </c>
    </row>
    <row r="2004" spans="1:10" x14ac:dyDescent="0.25">
      <c r="A2004" s="321" t="s">
        <v>4703</v>
      </c>
      <c r="B2004" s="323" t="s">
        <v>121</v>
      </c>
      <c r="C2004" s="323" t="s">
        <v>238</v>
      </c>
      <c r="D2004" s="392" t="s">
        <v>4743</v>
      </c>
      <c r="E2004" s="387">
        <v>352183</v>
      </c>
      <c r="F2004" s="597" t="s">
        <v>4786</v>
      </c>
      <c r="G2004" s="578">
        <v>69.34</v>
      </c>
      <c r="H2004" s="597">
        <v>3634320</v>
      </c>
      <c r="I2004" s="597"/>
      <c r="J2004" s="323" t="s">
        <v>4738</v>
      </c>
    </row>
    <row r="2005" spans="1:10" x14ac:dyDescent="0.25">
      <c r="A2005" s="321" t="s">
        <v>4703</v>
      </c>
      <c r="B2005" s="323" t="s">
        <v>121</v>
      </c>
      <c r="D2005" s="392" t="s">
        <v>1897</v>
      </c>
      <c r="E2005" s="387">
        <v>352658</v>
      </c>
      <c r="F2005" s="597" t="s">
        <v>4762</v>
      </c>
      <c r="G2005" s="578">
        <v>56.2</v>
      </c>
      <c r="H2005" s="597">
        <v>3637916</v>
      </c>
      <c r="I2005" s="597"/>
      <c r="J2005" s="323" t="s">
        <v>4706</v>
      </c>
    </row>
    <row r="2006" spans="1:10" x14ac:dyDescent="0.25">
      <c r="A2006" s="321" t="s">
        <v>4703</v>
      </c>
      <c r="B2006" s="323" t="s">
        <v>121</v>
      </c>
      <c r="C2006" s="323" t="s">
        <v>238</v>
      </c>
      <c r="D2006" s="392" t="s">
        <v>4742</v>
      </c>
      <c r="E2006" s="387">
        <v>351513</v>
      </c>
      <c r="F2006" s="597" t="s">
        <v>4784</v>
      </c>
      <c r="G2006" s="578">
        <v>66.52</v>
      </c>
      <c r="H2006" s="597">
        <v>3651544</v>
      </c>
      <c r="I2006" s="597"/>
      <c r="J2006" s="323" t="s">
        <v>4736</v>
      </c>
    </row>
    <row r="2007" spans="1:10" x14ac:dyDescent="0.25">
      <c r="A2007" s="321" t="s">
        <v>4703</v>
      </c>
      <c r="B2007" s="323" t="s">
        <v>121</v>
      </c>
      <c r="C2007" s="323" t="s">
        <v>238</v>
      </c>
      <c r="D2007" s="392" t="s">
        <v>3073</v>
      </c>
      <c r="E2007" s="387">
        <v>351452</v>
      </c>
      <c r="F2007" s="597" t="s">
        <v>4788</v>
      </c>
      <c r="G2007" s="578">
        <v>69.900000000000006</v>
      </c>
      <c r="H2007" s="597">
        <v>3653972</v>
      </c>
      <c r="I2007" s="597"/>
      <c r="J2007" s="323" t="s">
        <v>4740</v>
      </c>
    </row>
    <row r="2008" spans="1:10" x14ac:dyDescent="0.25">
      <c r="A2008" s="321" t="s">
        <v>4703</v>
      </c>
      <c r="B2008" s="323" t="s">
        <v>121</v>
      </c>
      <c r="C2008" s="323" t="s">
        <v>238</v>
      </c>
      <c r="D2008" s="392" t="s">
        <v>3229</v>
      </c>
      <c r="E2008" s="387">
        <v>350086</v>
      </c>
      <c r="F2008" s="597" t="s">
        <v>4803</v>
      </c>
      <c r="G2008" s="578">
        <v>135.94999999999999</v>
      </c>
      <c r="H2008" s="597">
        <v>3655395</v>
      </c>
      <c r="I2008" s="597"/>
      <c r="J2008" s="323" t="s">
        <v>4758</v>
      </c>
    </row>
    <row r="2009" spans="1:10" x14ac:dyDescent="0.25">
      <c r="A2009" s="321" t="s">
        <v>4703</v>
      </c>
      <c r="B2009" s="323" t="s">
        <v>121</v>
      </c>
      <c r="C2009" s="323" t="s">
        <v>3562</v>
      </c>
      <c r="D2009" s="392" t="s">
        <v>3015</v>
      </c>
      <c r="E2009" s="387">
        <v>352451</v>
      </c>
      <c r="F2009" s="597" t="s">
        <v>4810</v>
      </c>
      <c r="G2009" s="578">
        <v>80.900000000000006</v>
      </c>
      <c r="H2009" s="597" t="s">
        <v>4813</v>
      </c>
      <c r="I2009" s="597"/>
      <c r="J2009" s="323" t="s">
        <v>4747</v>
      </c>
    </row>
    <row r="2010" spans="1:10" x14ac:dyDescent="0.25">
      <c r="A2010" s="321" t="s">
        <v>4703</v>
      </c>
      <c r="B2010" s="323" t="s">
        <v>121</v>
      </c>
      <c r="C2010" s="323" t="s">
        <v>238</v>
      </c>
      <c r="D2010" s="392" t="s">
        <v>3460</v>
      </c>
      <c r="E2010" s="387">
        <v>351428</v>
      </c>
      <c r="F2010" s="597" t="s">
        <v>4797</v>
      </c>
      <c r="G2010" s="578">
        <v>58.9</v>
      </c>
      <c r="H2010" s="597" t="s">
        <v>4821</v>
      </c>
      <c r="I2010" s="597"/>
      <c r="J2010" s="323" t="s">
        <v>4761</v>
      </c>
    </row>
    <row r="2011" spans="1:10" x14ac:dyDescent="0.25">
      <c r="A2011" s="321" t="s">
        <v>4703</v>
      </c>
      <c r="B2011" s="323" t="s">
        <v>121</v>
      </c>
      <c r="C2011" s="323" t="s">
        <v>238</v>
      </c>
      <c r="D2011" s="392" t="s">
        <v>4726</v>
      </c>
      <c r="E2011" s="387">
        <v>211600</v>
      </c>
      <c r="F2011" s="597" t="s">
        <v>4773</v>
      </c>
      <c r="G2011" s="578">
        <v>39.85</v>
      </c>
      <c r="H2011" s="597">
        <v>3659868</v>
      </c>
      <c r="I2011" s="597"/>
      <c r="J2011" s="323" t="s">
        <v>4722</v>
      </c>
    </row>
    <row r="2012" spans="1:10" x14ac:dyDescent="0.25">
      <c r="A2012" s="321" t="s">
        <v>4703</v>
      </c>
      <c r="B2012" s="323" t="s">
        <v>121</v>
      </c>
      <c r="C2012" s="323" t="s">
        <v>238</v>
      </c>
      <c r="D2012" s="392" t="s">
        <v>2074</v>
      </c>
      <c r="E2012" s="387">
        <v>350437</v>
      </c>
      <c r="F2012" s="597" t="s">
        <v>4764</v>
      </c>
      <c r="G2012" s="578">
        <v>30.55</v>
      </c>
      <c r="H2012" s="597">
        <v>3664889</v>
      </c>
      <c r="I2012" s="597"/>
      <c r="J2012" s="323" t="s">
        <v>4709</v>
      </c>
    </row>
    <row r="2013" spans="1:10" x14ac:dyDescent="0.25">
      <c r="A2013" s="321" t="s">
        <v>4703</v>
      </c>
      <c r="B2013" s="323" t="s">
        <v>121</v>
      </c>
      <c r="C2013" s="323" t="s">
        <v>238</v>
      </c>
      <c r="D2013" s="392" t="s">
        <v>4550</v>
      </c>
      <c r="E2013" s="387">
        <v>354403</v>
      </c>
      <c r="F2013" s="597"/>
      <c r="G2013" s="578">
        <v>38.950000000000003</v>
      </c>
      <c r="H2013" s="597"/>
      <c r="I2013" s="597"/>
      <c r="J2013" s="323" t="s">
        <v>2374</v>
      </c>
    </row>
    <row r="2014" spans="1:10" x14ac:dyDescent="0.25">
      <c r="A2014" s="321">
        <v>42984</v>
      </c>
      <c r="B2014" s="323" t="s">
        <v>127</v>
      </c>
      <c r="D2014" s="392" t="s">
        <v>4664</v>
      </c>
      <c r="E2014" s="387">
        <v>350197</v>
      </c>
      <c r="F2014" s="594"/>
      <c r="G2014" s="578">
        <f>21.81+91.56</f>
        <v>113.37</v>
      </c>
      <c r="H2014" s="594">
        <v>3608163</v>
      </c>
      <c r="I2014" s="597"/>
      <c r="J2014" s="323" t="s">
        <v>4823</v>
      </c>
    </row>
    <row r="2015" spans="1:10" x14ac:dyDescent="0.25">
      <c r="A2015" s="321">
        <v>42984</v>
      </c>
      <c r="B2015" s="323" t="s">
        <v>127</v>
      </c>
      <c r="D2015" s="392" t="s">
        <v>4664</v>
      </c>
      <c r="E2015" s="387">
        <v>350197</v>
      </c>
      <c r="F2015" s="594"/>
      <c r="G2015" s="578">
        <f>22.53+103.56</f>
        <v>126.09</v>
      </c>
      <c r="H2015" s="594">
        <v>3617814</v>
      </c>
      <c r="I2015" s="597"/>
      <c r="J2015" s="323" t="s">
        <v>4823</v>
      </c>
    </row>
    <row r="2016" spans="1:10" x14ac:dyDescent="0.25">
      <c r="A2016" s="321">
        <v>42990</v>
      </c>
      <c r="B2016" s="323" t="s">
        <v>127</v>
      </c>
      <c r="D2016" s="392" t="s">
        <v>4664</v>
      </c>
      <c r="E2016" s="387">
        <v>350197</v>
      </c>
      <c r="F2016" s="594"/>
      <c r="G2016" s="578">
        <f>5.85+40.06</f>
        <v>45.910000000000004</v>
      </c>
      <c r="H2016" s="594">
        <v>3646043</v>
      </c>
      <c r="I2016" s="597"/>
      <c r="J2016" s="323" t="s">
        <v>4823</v>
      </c>
    </row>
    <row r="2017" spans="1:10" x14ac:dyDescent="0.25">
      <c r="A2017" s="321">
        <v>42993</v>
      </c>
      <c r="B2017" s="323" t="s">
        <v>127</v>
      </c>
      <c r="D2017" s="392" t="s">
        <v>4664</v>
      </c>
      <c r="E2017" s="387">
        <v>350197</v>
      </c>
      <c r="F2017" s="594"/>
      <c r="G2017" s="578">
        <f>16.32+56.66</f>
        <v>72.97999999999999</v>
      </c>
      <c r="H2017" s="594">
        <v>3659734</v>
      </c>
      <c r="I2017" s="597"/>
      <c r="J2017" s="323" t="s">
        <v>4823</v>
      </c>
    </row>
    <row r="2018" spans="1:10" x14ac:dyDescent="0.25">
      <c r="A2018" s="321">
        <v>42993</v>
      </c>
      <c r="B2018" s="323" t="s">
        <v>127</v>
      </c>
      <c r="D2018" s="392" t="s">
        <v>4664</v>
      </c>
      <c r="E2018" s="387">
        <v>350197</v>
      </c>
      <c r="F2018" s="594"/>
      <c r="G2018" s="578">
        <f>22.49+91.94</f>
        <v>114.42999999999999</v>
      </c>
      <c r="H2018" s="594">
        <v>3660985</v>
      </c>
      <c r="I2018" s="597"/>
      <c r="J2018" s="323" t="s">
        <v>4823</v>
      </c>
    </row>
    <row r="2019" spans="1:10" x14ac:dyDescent="0.25">
      <c r="A2019" s="321">
        <v>42993</v>
      </c>
      <c r="B2019" s="323" t="s">
        <v>127</v>
      </c>
      <c r="D2019" s="392" t="s">
        <v>4664</v>
      </c>
      <c r="E2019" s="387">
        <v>350197</v>
      </c>
      <c r="F2019" s="594"/>
      <c r="G2019" s="578">
        <f>6.61+41.1</f>
        <v>47.71</v>
      </c>
      <c r="H2019" s="594">
        <v>3662004</v>
      </c>
      <c r="I2019" s="597"/>
      <c r="J2019" s="323" t="s">
        <v>4823</v>
      </c>
    </row>
    <row r="2020" spans="1:10" x14ac:dyDescent="0.25">
      <c r="A2020" s="321">
        <v>42993</v>
      </c>
      <c r="B2020" s="323" t="s">
        <v>127</v>
      </c>
      <c r="D2020" s="392" t="s">
        <v>4664</v>
      </c>
      <c r="E2020" s="387">
        <v>350197</v>
      </c>
      <c r="F2020" s="594"/>
      <c r="G2020" s="578">
        <f>7.75+28.19</f>
        <v>35.94</v>
      </c>
      <c r="H2020" s="594">
        <v>3663616</v>
      </c>
      <c r="I2020" s="597"/>
      <c r="J2020" s="323" t="s">
        <v>4823</v>
      </c>
    </row>
    <row r="2021" spans="1:10" x14ac:dyDescent="0.25">
      <c r="A2021" s="321" t="s">
        <v>4829</v>
      </c>
      <c r="B2021" s="323" t="s">
        <v>121</v>
      </c>
      <c r="C2021" s="323" t="s">
        <v>4268</v>
      </c>
      <c r="D2021" s="392" t="s">
        <v>3015</v>
      </c>
      <c r="E2021" s="387">
        <v>352451</v>
      </c>
      <c r="F2021" s="594" t="s">
        <v>4810</v>
      </c>
      <c r="G2021" s="578">
        <v>-80.900000000000006</v>
      </c>
      <c r="H2021" s="594" t="s">
        <v>4813</v>
      </c>
      <c r="I2021" s="597"/>
      <c r="J2021" s="323" t="s">
        <v>4828</v>
      </c>
    </row>
    <row r="2022" spans="1:10" x14ac:dyDescent="0.25">
      <c r="A2022" s="321" t="s">
        <v>4829</v>
      </c>
      <c r="B2022" s="323" t="s">
        <v>121</v>
      </c>
      <c r="C2022" s="323" t="s">
        <v>238</v>
      </c>
      <c r="D2022" s="392" t="s">
        <v>2265</v>
      </c>
      <c r="E2022" s="387">
        <v>352539</v>
      </c>
      <c r="F2022" s="594" t="s">
        <v>4832</v>
      </c>
      <c r="G2022" s="578">
        <v>31.31</v>
      </c>
      <c r="H2022" s="594">
        <v>3666773</v>
      </c>
      <c r="I2022" s="597"/>
      <c r="J2022" s="323" t="s">
        <v>4830</v>
      </c>
    </row>
    <row r="2023" spans="1:10" x14ac:dyDescent="0.25">
      <c r="A2023" s="321" t="s">
        <v>4829</v>
      </c>
      <c r="B2023" s="323" t="s">
        <v>121</v>
      </c>
      <c r="C2023" s="323" t="s">
        <v>3562</v>
      </c>
      <c r="D2023" s="392" t="s">
        <v>4432</v>
      </c>
      <c r="E2023" s="387">
        <v>350498</v>
      </c>
      <c r="F2023" s="594" t="s">
        <v>4833</v>
      </c>
      <c r="G2023" s="578">
        <v>32.450000000000003</v>
      </c>
      <c r="H2023" s="594">
        <v>3683204</v>
      </c>
      <c r="I2023" s="597"/>
      <c r="J2023" s="323" t="s">
        <v>4831</v>
      </c>
    </row>
    <row r="2024" spans="1:10" x14ac:dyDescent="0.25">
      <c r="A2024" s="321" t="s">
        <v>4829</v>
      </c>
      <c r="B2024" s="323" t="s">
        <v>121</v>
      </c>
      <c r="D2024" s="392" t="s">
        <v>4834</v>
      </c>
      <c r="E2024" s="387">
        <v>215865</v>
      </c>
      <c r="F2024" s="594" t="s">
        <v>4837</v>
      </c>
      <c r="G2024" s="578">
        <v>35.01</v>
      </c>
      <c r="H2024" s="594">
        <v>3681420</v>
      </c>
      <c r="I2024" s="597"/>
      <c r="J2024" s="323" t="s">
        <v>4835</v>
      </c>
    </row>
    <row r="2025" spans="1:10" x14ac:dyDescent="0.25">
      <c r="A2025" s="321" t="s">
        <v>4829</v>
      </c>
      <c r="B2025" s="323" t="s">
        <v>121</v>
      </c>
      <c r="C2025" s="323" t="s">
        <v>238</v>
      </c>
      <c r="D2025" s="392" t="s">
        <v>4587</v>
      </c>
      <c r="E2025" s="387">
        <v>352811</v>
      </c>
      <c r="F2025" s="594" t="s">
        <v>4838</v>
      </c>
      <c r="G2025" s="578">
        <v>55.45</v>
      </c>
      <c r="H2025" s="594">
        <v>3693833</v>
      </c>
      <c r="I2025" s="597"/>
      <c r="J2025" s="323" t="s">
        <v>4836</v>
      </c>
    </row>
    <row r="2026" spans="1:10" x14ac:dyDescent="0.25">
      <c r="A2026" s="321" t="s">
        <v>4829</v>
      </c>
      <c r="B2026" s="323" t="s">
        <v>121</v>
      </c>
      <c r="C2026" s="323" t="s">
        <v>238</v>
      </c>
      <c r="D2026" s="392" t="s">
        <v>3482</v>
      </c>
      <c r="E2026" s="387">
        <v>218435</v>
      </c>
      <c r="F2026" s="594" t="s">
        <v>4841</v>
      </c>
      <c r="G2026" s="578">
        <v>68.02</v>
      </c>
      <c r="H2026" s="594">
        <v>3664916</v>
      </c>
      <c r="I2026" s="597"/>
      <c r="J2026" s="323" t="s">
        <v>4839</v>
      </c>
    </row>
    <row r="2027" spans="1:10" x14ac:dyDescent="0.25">
      <c r="A2027" s="321" t="s">
        <v>4829</v>
      </c>
      <c r="B2027" s="323" t="s">
        <v>121</v>
      </c>
      <c r="C2027" s="323" t="s">
        <v>238</v>
      </c>
      <c r="D2027" s="392" t="s">
        <v>2319</v>
      </c>
      <c r="E2027" s="387">
        <v>226863</v>
      </c>
      <c r="F2027" s="594" t="s">
        <v>4842</v>
      </c>
      <c r="G2027" s="578">
        <v>70.12</v>
      </c>
      <c r="H2027" s="594">
        <v>3669537</v>
      </c>
      <c r="I2027" s="597"/>
      <c r="J2027" s="323" t="s">
        <v>4840</v>
      </c>
    </row>
    <row r="2028" spans="1:10" x14ac:dyDescent="0.25">
      <c r="A2028" s="321" t="s">
        <v>4829</v>
      </c>
      <c r="B2028" s="323" t="s">
        <v>121</v>
      </c>
      <c r="C2028" s="323" t="s">
        <v>238</v>
      </c>
      <c r="D2028" s="392" t="s">
        <v>3785</v>
      </c>
      <c r="E2028" s="387">
        <v>350594</v>
      </c>
      <c r="F2028" s="594" t="s">
        <v>4844</v>
      </c>
      <c r="G2028" s="578">
        <v>70.97</v>
      </c>
      <c r="H2028" s="594">
        <v>3666792</v>
      </c>
      <c r="I2028" s="597"/>
      <c r="J2028" s="323" t="s">
        <v>4843</v>
      </c>
    </row>
    <row r="2029" spans="1:10" x14ac:dyDescent="0.25">
      <c r="A2029" s="321" t="s">
        <v>4829</v>
      </c>
      <c r="B2029" s="323" t="s">
        <v>121</v>
      </c>
      <c r="C2029" s="323" t="s">
        <v>238</v>
      </c>
      <c r="D2029" s="392" t="s">
        <v>4845</v>
      </c>
      <c r="E2029" s="387">
        <v>216141</v>
      </c>
      <c r="F2029" s="594" t="s">
        <v>4847</v>
      </c>
      <c r="G2029" s="578">
        <v>74.150000000000006</v>
      </c>
      <c r="H2029" s="594">
        <v>3672652</v>
      </c>
      <c r="I2029" s="597"/>
      <c r="J2029" s="323" t="s">
        <v>4846</v>
      </c>
    </row>
    <row r="2030" spans="1:10" x14ac:dyDescent="0.25">
      <c r="A2030" s="321" t="s">
        <v>4829</v>
      </c>
      <c r="B2030" s="323" t="s">
        <v>121</v>
      </c>
      <c r="C2030" s="323" t="s">
        <v>3562</v>
      </c>
      <c r="D2030" s="392" t="s">
        <v>4849</v>
      </c>
      <c r="E2030" s="387">
        <v>351811</v>
      </c>
      <c r="F2030" s="594" t="s">
        <v>4850</v>
      </c>
      <c r="G2030" s="578">
        <v>89.95</v>
      </c>
      <c r="H2030" s="594">
        <v>3672181</v>
      </c>
      <c r="I2030" s="597"/>
      <c r="J2030" s="323" t="s">
        <v>4848</v>
      </c>
    </row>
    <row r="2031" spans="1:10" x14ac:dyDescent="0.25">
      <c r="A2031" s="321" t="s">
        <v>4829</v>
      </c>
      <c r="B2031" s="323" t="s">
        <v>121</v>
      </c>
      <c r="C2031" s="323" t="s">
        <v>238</v>
      </c>
      <c r="D2031" s="392" t="s">
        <v>4207</v>
      </c>
      <c r="E2031" s="387">
        <v>351636</v>
      </c>
      <c r="F2031" s="594" t="s">
        <v>4852</v>
      </c>
      <c r="G2031" s="578">
        <v>38.43</v>
      </c>
      <c r="H2031" s="594">
        <v>3676691</v>
      </c>
      <c r="I2031" s="597"/>
      <c r="J2031" s="323" t="s">
        <v>4851</v>
      </c>
    </row>
    <row r="2032" spans="1:10" x14ac:dyDescent="0.25">
      <c r="A2032" s="321" t="s">
        <v>4829</v>
      </c>
      <c r="B2032" s="323" t="s">
        <v>121</v>
      </c>
      <c r="C2032" s="323" t="s">
        <v>238</v>
      </c>
      <c r="D2032" s="392" t="s">
        <v>4207</v>
      </c>
      <c r="E2032" s="387">
        <v>351636</v>
      </c>
      <c r="F2032" s="594" t="s">
        <v>4853</v>
      </c>
      <c r="G2032" s="578">
        <v>58.89</v>
      </c>
      <c r="H2032" s="594">
        <v>3672463</v>
      </c>
      <c r="I2032" s="597"/>
      <c r="J2032" s="323" t="s">
        <v>4851</v>
      </c>
    </row>
    <row r="2033" spans="1:10" x14ac:dyDescent="0.25">
      <c r="A2033" s="321" t="s">
        <v>4829</v>
      </c>
      <c r="B2033" s="323" t="s">
        <v>121</v>
      </c>
      <c r="C2033" s="323" t="s">
        <v>238</v>
      </c>
      <c r="D2033" s="392" t="s">
        <v>1243</v>
      </c>
      <c r="E2033" s="387">
        <v>22</v>
      </c>
      <c r="F2033" s="594" t="s">
        <v>4857</v>
      </c>
      <c r="G2033" s="578">
        <v>108.95</v>
      </c>
      <c r="H2033" s="594">
        <v>3666130</v>
      </c>
      <c r="I2033" s="597"/>
      <c r="J2033" s="323" t="s">
        <v>4854</v>
      </c>
    </row>
    <row r="2034" spans="1:10" x14ac:dyDescent="0.25">
      <c r="A2034" s="321" t="s">
        <v>4829</v>
      </c>
      <c r="B2034" s="323" t="s">
        <v>121</v>
      </c>
      <c r="C2034" s="323" t="s">
        <v>238</v>
      </c>
      <c r="D2034" s="392" t="s">
        <v>2820</v>
      </c>
      <c r="E2034" s="387">
        <v>350632</v>
      </c>
      <c r="F2034" s="594" t="s">
        <v>4858</v>
      </c>
      <c r="G2034" s="578">
        <v>111.25</v>
      </c>
      <c r="H2034" s="594">
        <v>3671612</v>
      </c>
      <c r="I2034" s="597"/>
      <c r="J2034" s="323" t="s">
        <v>4855</v>
      </c>
    </row>
    <row r="2035" spans="1:10" x14ac:dyDescent="0.25">
      <c r="A2035" s="321" t="s">
        <v>4829</v>
      </c>
      <c r="B2035" s="323" t="s">
        <v>121</v>
      </c>
      <c r="C2035" s="323" t="s">
        <v>238</v>
      </c>
      <c r="D2035" s="392" t="s">
        <v>1442</v>
      </c>
      <c r="E2035" s="387">
        <v>223340</v>
      </c>
      <c r="F2035" s="594" t="s">
        <v>4859</v>
      </c>
      <c r="G2035" s="578">
        <v>120.51</v>
      </c>
      <c r="H2035" s="594">
        <v>3664293</v>
      </c>
      <c r="I2035" s="597"/>
      <c r="J2035" s="323" t="s">
        <v>4856</v>
      </c>
    </row>
    <row r="2036" spans="1:10" x14ac:dyDescent="0.25">
      <c r="A2036" s="321" t="s">
        <v>4829</v>
      </c>
      <c r="B2036" s="323" t="s">
        <v>121</v>
      </c>
      <c r="C2036" s="323" t="s">
        <v>238</v>
      </c>
      <c r="D2036" s="392" t="s">
        <v>1366</v>
      </c>
      <c r="E2036" s="387">
        <v>201238</v>
      </c>
      <c r="F2036" s="594" t="s">
        <v>4861</v>
      </c>
      <c r="G2036" s="578">
        <v>150.44999999999999</v>
      </c>
      <c r="H2036" s="594">
        <v>3661020</v>
      </c>
      <c r="I2036" s="597"/>
      <c r="J2036" s="323" t="s">
        <v>4860</v>
      </c>
    </row>
    <row r="2037" spans="1:10" x14ac:dyDescent="0.25">
      <c r="A2037" s="321" t="s">
        <v>4829</v>
      </c>
      <c r="B2037" s="323" t="s">
        <v>121</v>
      </c>
      <c r="C2037" s="323" t="s">
        <v>238</v>
      </c>
      <c r="D2037" s="392" t="s">
        <v>2267</v>
      </c>
      <c r="E2037" s="387">
        <v>352630</v>
      </c>
      <c r="F2037" s="597"/>
      <c r="G2037" s="578">
        <v>155.21</v>
      </c>
      <c r="H2037" s="597"/>
      <c r="I2037" s="597"/>
      <c r="J2037" s="323" t="s">
        <v>2374</v>
      </c>
    </row>
    <row r="2038" spans="1:10" x14ac:dyDescent="0.25">
      <c r="A2038" s="321">
        <v>42998</v>
      </c>
      <c r="B2038" s="323" t="s">
        <v>127</v>
      </c>
      <c r="D2038" s="392" t="s">
        <v>4664</v>
      </c>
      <c r="E2038" s="387">
        <v>350197</v>
      </c>
      <c r="F2038" s="594"/>
      <c r="G2038" s="578">
        <f>41.9+206.09</f>
        <v>247.99</v>
      </c>
      <c r="H2038" s="594">
        <v>3680579</v>
      </c>
      <c r="I2038" s="597"/>
      <c r="J2038" s="323" t="s">
        <v>4823</v>
      </c>
    </row>
    <row r="2039" spans="1:10" x14ac:dyDescent="0.25">
      <c r="A2039" s="321">
        <v>42999</v>
      </c>
      <c r="B2039" s="323" t="s">
        <v>127</v>
      </c>
      <c r="D2039" s="392" t="s">
        <v>4664</v>
      </c>
      <c r="E2039" s="387">
        <v>350197</v>
      </c>
      <c r="F2039" s="594"/>
      <c r="G2039" s="578">
        <f>12.13+39.71</f>
        <v>51.84</v>
      </c>
      <c r="H2039" s="594">
        <v>3689776</v>
      </c>
      <c r="I2039" s="597"/>
      <c r="J2039" s="323" t="s">
        <v>4823</v>
      </c>
    </row>
    <row r="2040" spans="1:10" x14ac:dyDescent="0.25">
      <c r="A2040" s="321">
        <v>42999</v>
      </c>
      <c r="B2040" s="323" t="s">
        <v>127</v>
      </c>
      <c r="D2040" s="392" t="s">
        <v>4664</v>
      </c>
      <c r="E2040" s="387">
        <v>350197</v>
      </c>
      <c r="F2040" s="594"/>
      <c r="G2040" s="578">
        <f>22.53+103.56</f>
        <v>126.09</v>
      </c>
      <c r="H2040" s="594">
        <v>3656729</v>
      </c>
      <c r="I2040" s="597"/>
      <c r="J2040" s="323" t="s">
        <v>4823</v>
      </c>
    </row>
    <row r="2041" spans="1:10" x14ac:dyDescent="0.25">
      <c r="A2041" s="321">
        <v>43000</v>
      </c>
      <c r="B2041" s="323" t="s">
        <v>127</v>
      </c>
      <c r="D2041" s="392" t="s">
        <v>4664</v>
      </c>
      <c r="E2041" s="387">
        <v>350197</v>
      </c>
      <c r="F2041" s="594"/>
      <c r="G2041" s="578">
        <f>13.31+47.06</f>
        <v>60.370000000000005</v>
      </c>
      <c r="H2041" s="594">
        <v>3694283</v>
      </c>
      <c r="I2041" s="597"/>
      <c r="J2041" s="323" t="s">
        <v>4823</v>
      </c>
    </row>
    <row r="2042" spans="1:10" x14ac:dyDescent="0.25">
      <c r="A2042" s="321">
        <v>42997</v>
      </c>
      <c r="B2042" s="323" t="s">
        <v>127</v>
      </c>
      <c r="D2042" s="392" t="s">
        <v>2130</v>
      </c>
      <c r="E2042" s="387">
        <v>214122</v>
      </c>
      <c r="F2042" s="594"/>
      <c r="G2042" s="578">
        <f>10.38+114.52</f>
        <v>124.89999999999999</v>
      </c>
      <c r="H2042" s="594">
        <v>3678414</v>
      </c>
      <c r="I2042" s="597"/>
      <c r="J2042" s="323" t="s">
        <v>906</v>
      </c>
    </row>
    <row r="2043" spans="1:10" x14ac:dyDescent="0.25">
      <c r="A2043" s="321">
        <v>42998</v>
      </c>
      <c r="B2043" s="323" t="s">
        <v>127</v>
      </c>
      <c r="D2043" s="392" t="s">
        <v>2130</v>
      </c>
      <c r="E2043" s="387">
        <v>214122</v>
      </c>
      <c r="F2043" s="594"/>
      <c r="G2043" s="578">
        <f>10+57.2</f>
        <v>67.2</v>
      </c>
      <c r="H2043" s="594">
        <v>3683223</v>
      </c>
      <c r="I2043" s="597"/>
      <c r="J2043" s="323" t="s">
        <v>906</v>
      </c>
    </row>
    <row r="2044" spans="1:10" x14ac:dyDescent="0.25">
      <c r="A2044" s="321" t="s">
        <v>4862</v>
      </c>
      <c r="B2044" s="323" t="s">
        <v>121</v>
      </c>
      <c r="D2044" s="392" t="s">
        <v>4432</v>
      </c>
      <c r="E2044" s="387">
        <v>350498</v>
      </c>
      <c r="F2044" s="594" t="s">
        <v>4833</v>
      </c>
      <c r="G2044" s="578">
        <v>-32.450000000000003</v>
      </c>
      <c r="H2044" s="594">
        <v>3683204</v>
      </c>
      <c r="I2044" s="597" t="s">
        <v>4876</v>
      </c>
      <c r="J2044" s="323" t="s">
        <v>4863</v>
      </c>
    </row>
    <row r="2045" spans="1:10" x14ac:dyDescent="0.25">
      <c r="A2045" s="321" t="s">
        <v>4862</v>
      </c>
      <c r="B2045" s="323" t="s">
        <v>121</v>
      </c>
      <c r="C2045" s="323" t="s">
        <v>238</v>
      </c>
      <c r="D2045" s="392" t="s">
        <v>3460</v>
      </c>
      <c r="E2045" s="387">
        <v>351428</v>
      </c>
      <c r="F2045" s="594" t="s">
        <v>4865</v>
      </c>
      <c r="G2045" s="578">
        <v>30.85</v>
      </c>
      <c r="H2045" s="594">
        <v>3725016</v>
      </c>
      <c r="I2045" s="597"/>
      <c r="J2045" s="323" t="s">
        <v>4864</v>
      </c>
    </row>
    <row r="2046" spans="1:10" x14ac:dyDescent="0.25">
      <c r="A2046" s="321" t="s">
        <v>4862</v>
      </c>
      <c r="B2046" s="323" t="s">
        <v>121</v>
      </c>
      <c r="C2046" s="323" t="s">
        <v>238</v>
      </c>
      <c r="D2046" s="392" t="s">
        <v>2228</v>
      </c>
      <c r="E2046" s="387">
        <v>215795</v>
      </c>
      <c r="F2046" s="594" t="s">
        <v>4867</v>
      </c>
      <c r="G2046" s="578">
        <v>50.18</v>
      </c>
      <c r="H2046" s="594">
        <v>3712686</v>
      </c>
      <c r="I2046" s="600"/>
      <c r="J2046" s="323" t="s">
        <v>4866</v>
      </c>
    </row>
    <row r="2047" spans="1:10" x14ac:dyDescent="0.25">
      <c r="A2047" s="321" t="s">
        <v>4862</v>
      </c>
      <c r="B2047" s="323" t="s">
        <v>121</v>
      </c>
      <c r="C2047" s="323" t="s">
        <v>238</v>
      </c>
      <c r="D2047" s="392" t="s">
        <v>4760</v>
      </c>
      <c r="E2047" s="387">
        <v>351143</v>
      </c>
      <c r="F2047" s="594" t="s">
        <v>4869</v>
      </c>
      <c r="G2047" s="578">
        <v>60.95</v>
      </c>
      <c r="H2047" s="594">
        <v>3692944</v>
      </c>
      <c r="I2047" s="597"/>
      <c r="J2047" s="323" t="s">
        <v>4868</v>
      </c>
    </row>
    <row r="2048" spans="1:10" x14ac:dyDescent="0.25">
      <c r="A2048" s="321" t="s">
        <v>4862</v>
      </c>
      <c r="B2048" s="323" t="s">
        <v>121</v>
      </c>
      <c r="D2048" s="392" t="s">
        <v>4873</v>
      </c>
      <c r="E2048" s="387">
        <v>350856</v>
      </c>
      <c r="F2048" s="594" t="s">
        <v>4871</v>
      </c>
      <c r="G2048" s="578">
        <v>194.9</v>
      </c>
      <c r="H2048" s="594">
        <v>3696048</v>
      </c>
      <c r="I2048" s="597" t="s">
        <v>4876</v>
      </c>
      <c r="J2048" s="323" t="s">
        <v>4870</v>
      </c>
    </row>
    <row r="2049" spans="1:10" x14ac:dyDescent="0.25">
      <c r="A2049" s="321" t="s">
        <v>4862</v>
      </c>
      <c r="B2049" s="323" t="s">
        <v>121</v>
      </c>
      <c r="D2049" s="392" t="s">
        <v>4873</v>
      </c>
      <c r="E2049" s="387">
        <v>350856</v>
      </c>
      <c r="F2049" s="594" t="s">
        <v>4872</v>
      </c>
      <c r="G2049" s="578">
        <v>118.9</v>
      </c>
      <c r="H2049" s="594">
        <v>3699595</v>
      </c>
      <c r="I2049" s="597" t="s">
        <v>4876</v>
      </c>
      <c r="J2049" s="323" t="s">
        <v>4870</v>
      </c>
    </row>
    <row r="2050" spans="1:10" x14ac:dyDescent="0.25">
      <c r="A2050" s="321">
        <v>43005</v>
      </c>
      <c r="B2050" s="323" t="s">
        <v>127</v>
      </c>
      <c r="D2050" s="392" t="s">
        <v>4874</v>
      </c>
      <c r="E2050" s="387">
        <v>354567</v>
      </c>
      <c r="F2050" s="594"/>
      <c r="G2050" s="578">
        <f>13.33+47.19</f>
        <v>60.519999999999996</v>
      </c>
      <c r="H2050" s="594">
        <v>3707307</v>
      </c>
      <c r="I2050" s="597"/>
      <c r="J2050" s="323" t="s">
        <v>179</v>
      </c>
    </row>
    <row r="2051" spans="1:10" x14ac:dyDescent="0.25">
      <c r="A2051" s="321">
        <v>43006</v>
      </c>
      <c r="B2051" s="323" t="s">
        <v>127</v>
      </c>
      <c r="D2051" s="392" t="s">
        <v>4874</v>
      </c>
      <c r="E2051" s="387">
        <v>354567</v>
      </c>
      <c r="F2051" s="594"/>
      <c r="G2051" s="578">
        <f>40.61+87.09</f>
        <v>127.7</v>
      </c>
      <c r="H2051" s="594">
        <v>3715577</v>
      </c>
      <c r="I2051" s="597"/>
      <c r="J2051" s="323" t="s">
        <v>179</v>
      </c>
    </row>
    <row r="2052" spans="1:10" x14ac:dyDescent="0.25">
      <c r="A2052" s="321">
        <v>43004</v>
      </c>
      <c r="B2052" s="323" t="s">
        <v>127</v>
      </c>
      <c r="D2052" s="392" t="s">
        <v>4664</v>
      </c>
      <c r="E2052" s="387">
        <v>350197</v>
      </c>
      <c r="F2052" s="594"/>
      <c r="G2052" s="578">
        <f>5.85+40.06</f>
        <v>45.910000000000004</v>
      </c>
      <c r="H2052" s="594">
        <v>3705481</v>
      </c>
      <c r="I2052" s="597" t="s">
        <v>4877</v>
      </c>
      <c r="J2052" s="323" t="s">
        <v>4875</v>
      </c>
    </row>
    <row r="2053" spans="1:10" x14ac:dyDescent="0.25">
      <c r="A2053" s="321">
        <v>43005</v>
      </c>
      <c r="B2053" s="323" t="s">
        <v>127</v>
      </c>
      <c r="D2053" s="392" t="s">
        <v>4664</v>
      </c>
      <c r="E2053" s="387">
        <v>350197</v>
      </c>
      <c r="F2053" s="594"/>
      <c r="G2053" s="578">
        <f>14.49+43.71</f>
        <v>58.2</v>
      </c>
      <c r="H2053" s="594">
        <v>3713485</v>
      </c>
      <c r="I2053" s="597" t="s">
        <v>4878</v>
      </c>
      <c r="J2053" s="323" t="s">
        <v>4875</v>
      </c>
    </row>
    <row r="2054" spans="1:10" x14ac:dyDescent="0.25">
      <c r="A2054" s="321">
        <v>43007</v>
      </c>
      <c r="B2054" s="323" t="s">
        <v>127</v>
      </c>
      <c r="D2054" s="392" t="s">
        <v>4664</v>
      </c>
      <c r="E2054" s="387">
        <v>350197</v>
      </c>
      <c r="F2054" s="594"/>
      <c r="G2054" s="578">
        <f>14.2+42.93</f>
        <v>57.129999999999995</v>
      </c>
      <c r="H2054" s="594">
        <v>3722618</v>
      </c>
      <c r="I2054" s="597" t="s">
        <v>4878</v>
      </c>
      <c r="J2054" s="323" t="s">
        <v>4875</v>
      </c>
    </row>
    <row r="2055" spans="1:10" x14ac:dyDescent="0.25">
      <c r="A2055" s="321" t="s">
        <v>4887</v>
      </c>
      <c r="B2055" s="323" t="s">
        <v>121</v>
      </c>
      <c r="C2055" s="323" t="s">
        <v>238</v>
      </c>
      <c r="D2055" s="392" t="s">
        <v>1972</v>
      </c>
      <c r="E2055" s="387">
        <v>351248</v>
      </c>
      <c r="F2055" s="594" t="s">
        <v>4880</v>
      </c>
      <c r="G2055" s="578">
        <v>64.400000000000006</v>
      </c>
      <c r="H2055" s="597">
        <v>3747934</v>
      </c>
      <c r="I2055" s="597"/>
      <c r="J2055" s="323" t="s">
        <v>4879</v>
      </c>
    </row>
    <row r="2056" spans="1:10" x14ac:dyDescent="0.25">
      <c r="A2056" s="321" t="s">
        <v>4887</v>
      </c>
      <c r="B2056" s="323" t="s">
        <v>121</v>
      </c>
      <c r="C2056" s="323" t="s">
        <v>4888</v>
      </c>
      <c r="D2056" s="392" t="s">
        <v>1978</v>
      </c>
      <c r="E2056" s="387">
        <v>350577</v>
      </c>
      <c r="F2056" s="594" t="s">
        <v>4883</v>
      </c>
      <c r="G2056" s="578">
        <v>74.22</v>
      </c>
      <c r="H2056" s="597">
        <v>3753346</v>
      </c>
      <c r="I2056" s="597"/>
      <c r="J2056" s="323" t="s">
        <v>4882</v>
      </c>
    </row>
    <row r="2057" spans="1:10" x14ac:dyDescent="0.25">
      <c r="A2057" s="321" t="s">
        <v>4887</v>
      </c>
      <c r="B2057" s="323" t="s">
        <v>121</v>
      </c>
      <c r="C2057" s="323" t="s">
        <v>238</v>
      </c>
      <c r="D2057" s="392" t="s">
        <v>1483</v>
      </c>
      <c r="E2057" s="387">
        <v>352059</v>
      </c>
      <c r="F2057" s="594" t="s">
        <v>4885</v>
      </c>
      <c r="G2057" s="578">
        <v>98.72</v>
      </c>
      <c r="H2057" s="597">
        <v>3752755</v>
      </c>
      <c r="I2057" s="597"/>
      <c r="J2057" s="323" t="s">
        <v>4884</v>
      </c>
    </row>
    <row r="2058" spans="1:10" x14ac:dyDescent="0.25">
      <c r="A2058" s="321" t="s">
        <v>4887</v>
      </c>
      <c r="B2058" s="323" t="s">
        <v>121</v>
      </c>
      <c r="C2058" s="323" t="s">
        <v>238</v>
      </c>
      <c r="D2058" s="392" t="s">
        <v>4881</v>
      </c>
      <c r="E2058" s="387">
        <v>352870</v>
      </c>
      <c r="F2058" s="594"/>
      <c r="G2058" s="578">
        <v>59.39</v>
      </c>
      <c r="H2058" s="597"/>
      <c r="I2058" s="597"/>
      <c r="J2058" s="323" t="s">
        <v>2374</v>
      </c>
    </row>
    <row r="2059" spans="1:10" x14ac:dyDescent="0.25">
      <c r="A2059" s="321" t="s">
        <v>4887</v>
      </c>
      <c r="B2059" s="323" t="s">
        <v>121</v>
      </c>
      <c r="C2059" s="323" t="s">
        <v>4888</v>
      </c>
      <c r="D2059" s="392" t="s">
        <v>4886</v>
      </c>
      <c r="E2059" s="387">
        <v>353250</v>
      </c>
      <c r="F2059" s="594"/>
      <c r="G2059" s="578">
        <v>60.49</v>
      </c>
      <c r="H2059" s="597"/>
      <c r="I2059" s="597"/>
      <c r="J2059" s="323" t="s">
        <v>2374</v>
      </c>
    </row>
    <row r="2060" spans="1:10" x14ac:dyDescent="0.25">
      <c r="A2060" s="321">
        <v>43013</v>
      </c>
      <c r="B2060" s="323" t="s">
        <v>127</v>
      </c>
      <c r="D2060" s="392" t="s">
        <v>4874</v>
      </c>
      <c r="E2060" s="387">
        <v>354567</v>
      </c>
      <c r="F2060" s="594"/>
      <c r="G2060" s="578">
        <f>130.58+119.64</f>
        <v>250.22000000000003</v>
      </c>
      <c r="H2060" s="594">
        <v>3747396</v>
      </c>
      <c r="I2060" s="597"/>
      <c r="J2060" s="323" t="s">
        <v>179</v>
      </c>
    </row>
    <row r="2061" spans="1:10" x14ac:dyDescent="0.25">
      <c r="A2061" s="321">
        <v>43013</v>
      </c>
      <c r="B2061" s="323" t="s">
        <v>127</v>
      </c>
      <c r="D2061" s="392" t="s">
        <v>4874</v>
      </c>
      <c r="E2061" s="387">
        <v>354567</v>
      </c>
      <c r="F2061" s="594"/>
      <c r="G2061" s="578">
        <f>171.38+52.2</f>
        <v>223.57999999999998</v>
      </c>
      <c r="H2061" s="594">
        <v>3752018</v>
      </c>
      <c r="I2061" s="597"/>
      <c r="J2061" s="323" t="s">
        <v>179</v>
      </c>
    </row>
    <row r="2062" spans="1:10" x14ac:dyDescent="0.25">
      <c r="A2062" s="321">
        <v>43014</v>
      </c>
      <c r="B2062" s="323" t="s">
        <v>127</v>
      </c>
      <c r="D2062" s="392" t="s">
        <v>4874</v>
      </c>
      <c r="E2062" s="387">
        <v>354567</v>
      </c>
      <c r="F2062" s="594"/>
      <c r="G2062" s="578">
        <f>91.32+178.07</f>
        <v>269.39</v>
      </c>
      <c r="H2062" s="594">
        <v>3751507</v>
      </c>
      <c r="I2062" s="597"/>
      <c r="J2062" s="323" t="s">
        <v>179</v>
      </c>
    </row>
    <row r="2063" spans="1:10" x14ac:dyDescent="0.25">
      <c r="A2063" s="321">
        <v>43014</v>
      </c>
      <c r="B2063" s="323" t="s">
        <v>127</v>
      </c>
      <c r="D2063" s="392" t="s">
        <v>4874</v>
      </c>
      <c r="E2063" s="387">
        <v>354567</v>
      </c>
      <c r="F2063" s="594"/>
      <c r="G2063" s="578">
        <f>43.5+87.02</f>
        <v>130.51999999999998</v>
      </c>
      <c r="H2063" s="594">
        <v>3754103</v>
      </c>
      <c r="I2063" s="597"/>
      <c r="J2063" s="323" t="s">
        <v>179</v>
      </c>
    </row>
    <row r="2064" spans="1:10" x14ac:dyDescent="0.25">
      <c r="A2064" s="321">
        <v>43014</v>
      </c>
      <c r="B2064" s="323" t="s">
        <v>127</v>
      </c>
      <c r="D2064" s="392" t="s">
        <v>4664</v>
      </c>
      <c r="E2064" s="387">
        <v>350197</v>
      </c>
      <c r="F2064" s="594"/>
      <c r="G2064" s="578">
        <f>25.66+109.97</f>
        <v>135.63</v>
      </c>
      <c r="H2064" s="594">
        <v>3757917</v>
      </c>
      <c r="I2064" s="597"/>
      <c r="J2064" s="323" t="s">
        <v>4875</v>
      </c>
    </row>
    <row r="2065" spans="1:10" x14ac:dyDescent="0.25">
      <c r="A2065" s="321">
        <v>43014</v>
      </c>
      <c r="B2065" s="323" t="s">
        <v>127</v>
      </c>
      <c r="D2065" s="392" t="s">
        <v>4664</v>
      </c>
      <c r="E2065" s="387">
        <v>350197</v>
      </c>
      <c r="F2065" s="594"/>
      <c r="G2065" s="578">
        <f>19.66+41.77</f>
        <v>61.430000000000007</v>
      </c>
      <c r="H2065" s="597">
        <v>3758675</v>
      </c>
      <c r="I2065" s="597"/>
      <c r="J2065" s="323" t="s">
        <v>4875</v>
      </c>
    </row>
    <row r="2066" spans="1:10" x14ac:dyDescent="0.25">
      <c r="A2066" s="321" t="s">
        <v>4891</v>
      </c>
      <c r="B2066" s="323" t="s">
        <v>121</v>
      </c>
      <c r="C2066" s="323" t="s">
        <v>4889</v>
      </c>
      <c r="D2066" s="392" t="s">
        <v>1978</v>
      </c>
      <c r="E2066" s="387">
        <v>350577</v>
      </c>
      <c r="F2066" s="594" t="s">
        <v>4883</v>
      </c>
      <c r="G2066" s="578">
        <v>-74.22</v>
      </c>
      <c r="H2066" s="597">
        <v>3753346</v>
      </c>
      <c r="I2066" s="597"/>
      <c r="J2066" s="323" t="s">
        <v>4882</v>
      </c>
    </row>
    <row r="2067" spans="1:10" x14ac:dyDescent="0.25">
      <c r="A2067" s="321" t="s">
        <v>4891</v>
      </c>
      <c r="B2067" s="323" t="s">
        <v>121</v>
      </c>
      <c r="C2067" s="323" t="s">
        <v>4889</v>
      </c>
      <c r="D2067" s="392" t="s">
        <v>4886</v>
      </c>
      <c r="E2067" s="387">
        <v>353250</v>
      </c>
      <c r="F2067" s="594"/>
      <c r="G2067" s="578">
        <v>-60.49</v>
      </c>
      <c r="H2067" s="597"/>
      <c r="I2067" s="597"/>
      <c r="J2067" s="323" t="s">
        <v>4890</v>
      </c>
    </row>
    <row r="2068" spans="1:10" x14ac:dyDescent="0.25">
      <c r="A2068" s="321" t="s">
        <v>4891</v>
      </c>
      <c r="B2068" s="323" t="s">
        <v>121</v>
      </c>
      <c r="C2068" s="323" t="s">
        <v>238</v>
      </c>
      <c r="D2068" s="392" t="s">
        <v>2150</v>
      </c>
      <c r="E2068" s="387">
        <v>350406</v>
      </c>
      <c r="F2068" s="594" t="s">
        <v>4893</v>
      </c>
      <c r="G2068" s="578">
        <v>61.95</v>
      </c>
      <c r="H2068" s="597">
        <v>3769563</v>
      </c>
      <c r="I2068" s="597"/>
      <c r="J2068" s="323" t="s">
        <v>4892</v>
      </c>
    </row>
    <row r="2069" spans="1:10" x14ac:dyDescent="0.25">
      <c r="A2069" s="321" t="s">
        <v>4891</v>
      </c>
      <c r="B2069" s="323" t="s">
        <v>121</v>
      </c>
      <c r="C2069" s="323" t="s">
        <v>238</v>
      </c>
      <c r="D2069" s="392" t="s">
        <v>4894</v>
      </c>
      <c r="E2069" s="387">
        <v>354316</v>
      </c>
      <c r="F2069" s="594"/>
      <c r="G2069" s="578">
        <v>89.99</v>
      </c>
      <c r="H2069" s="597"/>
      <c r="I2069" s="597"/>
      <c r="J2069" s="323" t="s">
        <v>2374</v>
      </c>
    </row>
    <row r="2070" spans="1:10" x14ac:dyDescent="0.25">
      <c r="A2070" s="321" t="s">
        <v>4891</v>
      </c>
      <c r="B2070" s="323" t="s">
        <v>121</v>
      </c>
      <c r="C2070" s="323" t="s">
        <v>238</v>
      </c>
      <c r="D2070" s="392" t="s">
        <v>2535</v>
      </c>
      <c r="E2070" s="387">
        <v>523</v>
      </c>
      <c r="F2070" s="594" t="s">
        <v>4896</v>
      </c>
      <c r="G2070" s="578">
        <v>57.12</v>
      </c>
      <c r="H2070" s="597">
        <v>3790417</v>
      </c>
      <c r="I2070" s="597"/>
      <c r="J2070" s="323" t="s">
        <v>4895</v>
      </c>
    </row>
    <row r="2071" spans="1:10" x14ac:dyDescent="0.25">
      <c r="A2071" s="321" t="s">
        <v>4891</v>
      </c>
      <c r="B2071" s="323" t="s">
        <v>121</v>
      </c>
      <c r="D2071" s="392" t="s">
        <v>1532</v>
      </c>
      <c r="E2071" s="387">
        <v>351345</v>
      </c>
      <c r="F2071" s="594" t="s">
        <v>4898</v>
      </c>
      <c r="G2071" s="578">
        <v>76.48</v>
      </c>
      <c r="H2071" s="597">
        <v>3788043</v>
      </c>
      <c r="I2071" s="597"/>
      <c r="J2071" s="323" t="s">
        <v>4897</v>
      </c>
    </row>
    <row r="2072" spans="1:10" x14ac:dyDescent="0.25">
      <c r="A2072" s="321" t="s">
        <v>4891</v>
      </c>
      <c r="B2072" s="323" t="s">
        <v>121</v>
      </c>
      <c r="C2072" s="323" t="s">
        <v>238</v>
      </c>
      <c r="D2072" s="392" t="s">
        <v>2236</v>
      </c>
      <c r="E2072" s="387"/>
      <c r="F2072" s="594" t="s">
        <v>4899</v>
      </c>
      <c r="G2072" s="578">
        <v>59.43</v>
      </c>
      <c r="H2072" s="597">
        <v>3784298</v>
      </c>
      <c r="I2072" s="597"/>
      <c r="J2072" s="323" t="s">
        <v>4901</v>
      </c>
    </row>
    <row r="2073" spans="1:10" x14ac:dyDescent="0.25">
      <c r="A2073" s="321">
        <v>43018</v>
      </c>
      <c r="B2073" s="323" t="s">
        <v>127</v>
      </c>
      <c r="D2073" s="392" t="s">
        <v>4664</v>
      </c>
      <c r="E2073" s="387">
        <v>350197</v>
      </c>
      <c r="F2073" s="594"/>
      <c r="G2073" s="578">
        <f>12.3+39.59</f>
        <v>51.89</v>
      </c>
      <c r="H2073" s="597">
        <v>3759154</v>
      </c>
      <c r="I2073" s="597"/>
      <c r="J2073" s="323" t="s">
        <v>4875</v>
      </c>
    </row>
    <row r="2074" spans="1:10" x14ac:dyDescent="0.25">
      <c r="A2074" s="321">
        <v>43018</v>
      </c>
      <c r="B2074" s="323" t="s">
        <v>127</v>
      </c>
      <c r="D2074" s="392" t="s">
        <v>4664</v>
      </c>
      <c r="E2074" s="387">
        <v>350197</v>
      </c>
      <c r="F2074" s="594"/>
      <c r="G2074" s="578">
        <f>5.85+40.06</f>
        <v>45.910000000000004</v>
      </c>
      <c r="H2074" s="597">
        <v>3770042</v>
      </c>
      <c r="I2074" s="597"/>
      <c r="J2074" s="323" t="s">
        <v>4875</v>
      </c>
    </row>
    <row r="2075" spans="1:10" x14ac:dyDescent="0.25">
      <c r="A2075" s="321">
        <v>43021</v>
      </c>
      <c r="B2075" s="323" t="s">
        <v>127</v>
      </c>
      <c r="D2075" s="392" t="s">
        <v>4664</v>
      </c>
      <c r="E2075" s="387">
        <v>350197</v>
      </c>
      <c r="F2075" s="594"/>
      <c r="G2075" s="578">
        <f>84.64+169.55</f>
        <v>254.19</v>
      </c>
      <c r="H2075" s="597">
        <v>3788878</v>
      </c>
      <c r="I2075" s="597"/>
      <c r="J2075" s="323" t="s">
        <v>4900</v>
      </c>
    </row>
    <row r="2076" spans="1:10" x14ac:dyDescent="0.25">
      <c r="A2076" s="321">
        <v>43019</v>
      </c>
      <c r="B2076" s="323" t="s">
        <v>127</v>
      </c>
      <c r="D2076" s="392" t="s">
        <v>4874</v>
      </c>
      <c r="E2076" s="387">
        <v>354567</v>
      </c>
      <c r="F2076" s="594"/>
      <c r="G2076" s="578">
        <f>48.66+135.53</f>
        <v>184.19</v>
      </c>
      <c r="H2076" s="597">
        <v>3774446</v>
      </c>
      <c r="I2076" s="597"/>
      <c r="J2076" s="323" t="s">
        <v>2682</v>
      </c>
    </row>
    <row r="2077" spans="1:10" x14ac:dyDescent="0.25">
      <c r="A2077" s="321">
        <v>43020</v>
      </c>
      <c r="B2077" s="323" t="s">
        <v>127</v>
      </c>
      <c r="D2077" s="392" t="s">
        <v>4874</v>
      </c>
      <c r="E2077" s="387">
        <v>354567</v>
      </c>
      <c r="F2077" s="594"/>
      <c r="G2077" s="578">
        <f>26.03+38.51</f>
        <v>64.539999999999992</v>
      </c>
      <c r="H2077" s="597">
        <v>3784596</v>
      </c>
      <c r="I2077" s="597"/>
      <c r="J2077" s="323" t="s">
        <v>2682</v>
      </c>
    </row>
    <row r="2078" spans="1:10" x14ac:dyDescent="0.25">
      <c r="A2078" s="321">
        <v>43020</v>
      </c>
      <c r="B2078" s="323" t="s">
        <v>127</v>
      </c>
      <c r="D2078" s="392" t="s">
        <v>2950</v>
      </c>
      <c r="E2078" s="387">
        <v>213393</v>
      </c>
      <c r="F2078" s="594"/>
      <c r="G2078" s="578">
        <f>6.58+102.27</f>
        <v>108.85</v>
      </c>
      <c r="H2078" s="597">
        <v>3722254</v>
      </c>
      <c r="I2078" s="597"/>
      <c r="J2078" s="323" t="s">
        <v>2682</v>
      </c>
    </row>
    <row r="2079" spans="1:10" x14ac:dyDescent="0.25">
      <c r="A2079" s="321">
        <v>43019</v>
      </c>
      <c r="B2079" s="323" t="s">
        <v>127</v>
      </c>
      <c r="D2079" s="392" t="s">
        <v>2130</v>
      </c>
      <c r="E2079" s="387">
        <v>214122</v>
      </c>
      <c r="F2079" s="594"/>
      <c r="G2079" s="578">
        <f>11.1+21.85</f>
        <v>32.950000000000003</v>
      </c>
      <c r="H2079" s="597">
        <v>3775973</v>
      </c>
      <c r="I2079" s="597"/>
      <c r="J2079" s="323" t="s">
        <v>2682</v>
      </c>
    </row>
    <row r="2080" spans="1:10" x14ac:dyDescent="0.25">
      <c r="A2080" s="321" t="s">
        <v>4906</v>
      </c>
      <c r="B2080" s="323" t="s">
        <v>121</v>
      </c>
      <c r="C2080" s="323" t="s">
        <v>238</v>
      </c>
      <c r="D2080" s="392" t="s">
        <v>4191</v>
      </c>
      <c r="E2080" s="387">
        <v>352707</v>
      </c>
      <c r="F2080" s="594" t="s">
        <v>5043</v>
      </c>
      <c r="G2080" s="578">
        <v>68.13</v>
      </c>
      <c r="H2080" s="597">
        <v>3777741</v>
      </c>
      <c r="I2080" s="597"/>
      <c r="J2080" s="323" t="s">
        <v>5036</v>
      </c>
    </row>
    <row r="2081" spans="1:10" x14ac:dyDescent="0.25">
      <c r="A2081" s="321" t="s">
        <v>4906</v>
      </c>
      <c r="B2081" s="323" t="s">
        <v>121</v>
      </c>
      <c r="C2081" s="323" t="s">
        <v>238</v>
      </c>
      <c r="D2081" s="392" t="s">
        <v>4536</v>
      </c>
      <c r="E2081" s="387">
        <v>350095</v>
      </c>
      <c r="F2081" s="594" t="s">
        <v>4969</v>
      </c>
      <c r="G2081" s="578">
        <v>43.3</v>
      </c>
      <c r="H2081" s="597">
        <v>3791523</v>
      </c>
      <c r="I2081" s="597"/>
      <c r="J2081" s="323" t="s">
        <v>4963</v>
      </c>
    </row>
    <row r="2082" spans="1:10" x14ac:dyDescent="0.25">
      <c r="A2082" s="321" t="s">
        <v>4906</v>
      </c>
      <c r="B2082" s="323" t="s">
        <v>121</v>
      </c>
      <c r="C2082" s="323" t="s">
        <v>238</v>
      </c>
      <c r="D2082" s="392" t="s">
        <v>49</v>
      </c>
      <c r="E2082" s="387">
        <v>350920</v>
      </c>
      <c r="F2082" s="594" t="s">
        <v>5113</v>
      </c>
      <c r="G2082" s="578">
        <v>221.8</v>
      </c>
      <c r="H2082" s="597">
        <v>3792692</v>
      </c>
      <c r="I2082" s="597"/>
      <c r="J2082" s="323" t="s">
        <v>5103</v>
      </c>
    </row>
    <row r="2083" spans="1:10" x14ac:dyDescent="0.25">
      <c r="A2083" s="321" t="s">
        <v>4906</v>
      </c>
      <c r="B2083" s="323" t="s">
        <v>121</v>
      </c>
      <c r="C2083" s="323" t="s">
        <v>238</v>
      </c>
      <c r="D2083" s="392" t="s">
        <v>4943</v>
      </c>
      <c r="E2083" s="387">
        <v>215878</v>
      </c>
      <c r="F2083" s="594" t="s">
        <v>4944</v>
      </c>
      <c r="G2083" s="578">
        <v>37.14</v>
      </c>
      <c r="H2083" s="597">
        <v>3793763</v>
      </c>
      <c r="I2083" s="597"/>
      <c r="J2083" s="323" t="s">
        <v>4940</v>
      </c>
    </row>
    <row r="2084" spans="1:10" x14ac:dyDescent="0.25">
      <c r="A2084" s="321" t="s">
        <v>4906</v>
      </c>
      <c r="B2084" s="323" t="s">
        <v>121</v>
      </c>
      <c r="C2084" s="323" t="s">
        <v>238</v>
      </c>
      <c r="D2084" s="392" t="s">
        <v>2357</v>
      </c>
      <c r="E2084" s="387">
        <v>351472</v>
      </c>
      <c r="F2084" s="594" t="s">
        <v>5004</v>
      </c>
      <c r="G2084" s="578">
        <v>54.92</v>
      </c>
      <c r="H2084" s="597">
        <v>3794055</v>
      </c>
      <c r="I2084" s="597"/>
      <c r="J2084" s="323" t="s">
        <v>4996</v>
      </c>
    </row>
    <row r="2085" spans="1:10" x14ac:dyDescent="0.25">
      <c r="A2085" s="321" t="s">
        <v>4906</v>
      </c>
      <c r="B2085" s="323" t="s">
        <v>121</v>
      </c>
      <c r="C2085" s="323" t="s">
        <v>238</v>
      </c>
      <c r="D2085" s="392" t="s">
        <v>461</v>
      </c>
      <c r="E2085" s="387">
        <v>351456</v>
      </c>
      <c r="F2085" s="594" t="s">
        <v>5117</v>
      </c>
      <c r="G2085" s="578">
        <f>143.18</f>
        <v>143.18</v>
      </c>
      <c r="H2085" s="597">
        <v>3794364</v>
      </c>
      <c r="I2085" s="597"/>
      <c r="J2085" s="323" t="s">
        <v>5101</v>
      </c>
    </row>
    <row r="2086" spans="1:10" x14ac:dyDescent="0.25">
      <c r="A2086" s="321" t="s">
        <v>4906</v>
      </c>
      <c r="B2086" s="323" t="s">
        <v>121</v>
      </c>
      <c r="C2086" s="323" t="s">
        <v>238</v>
      </c>
      <c r="D2086" s="392" t="s">
        <v>53</v>
      </c>
      <c r="E2086" s="387">
        <v>352310</v>
      </c>
      <c r="F2086" s="594" t="s">
        <v>5075</v>
      </c>
      <c r="G2086" s="578">
        <v>57.2</v>
      </c>
      <c r="H2086" s="597">
        <v>3797866</v>
      </c>
      <c r="I2086" s="597"/>
      <c r="J2086" s="323" t="s">
        <v>5062</v>
      </c>
    </row>
    <row r="2087" spans="1:10" x14ac:dyDescent="0.25">
      <c r="A2087" s="321" t="s">
        <v>4906</v>
      </c>
      <c r="B2087" s="323" t="s">
        <v>121</v>
      </c>
      <c r="C2087" s="323" t="s">
        <v>238</v>
      </c>
      <c r="D2087" s="392" t="s">
        <v>4929</v>
      </c>
      <c r="E2087" s="387">
        <v>350382</v>
      </c>
      <c r="F2087" s="594" t="s">
        <v>4937</v>
      </c>
      <c r="G2087" s="578">
        <v>35.9</v>
      </c>
      <c r="H2087" s="597">
        <v>3798420</v>
      </c>
      <c r="I2087" s="597"/>
      <c r="J2087" s="323" t="s">
        <v>4924</v>
      </c>
    </row>
    <row r="2088" spans="1:10" x14ac:dyDescent="0.25">
      <c r="A2088" s="321" t="s">
        <v>4906</v>
      </c>
      <c r="B2088" s="323" t="s">
        <v>121</v>
      </c>
      <c r="C2088" s="323" t="s">
        <v>238</v>
      </c>
      <c r="D2088" s="392" t="s">
        <v>2813</v>
      </c>
      <c r="E2088" s="387">
        <v>352477</v>
      </c>
      <c r="F2088" s="594" t="s">
        <v>5032</v>
      </c>
      <c r="G2088" s="578">
        <v>65.95</v>
      </c>
      <c r="H2088" s="597">
        <v>3799729</v>
      </c>
      <c r="I2088" s="597"/>
      <c r="J2088" s="323" t="s">
        <v>5026</v>
      </c>
    </row>
    <row r="2089" spans="1:10" x14ac:dyDescent="0.25">
      <c r="A2089" s="321" t="s">
        <v>4906</v>
      </c>
      <c r="B2089" s="323" t="s">
        <v>121</v>
      </c>
      <c r="C2089" s="323" t="s">
        <v>238</v>
      </c>
      <c r="D2089" s="392" t="s">
        <v>461</v>
      </c>
      <c r="E2089" s="387">
        <v>351456</v>
      </c>
      <c r="F2089" s="594" t="s">
        <v>5111</v>
      </c>
      <c r="G2089" s="578">
        <v>62.95</v>
      </c>
      <c r="H2089" s="597">
        <v>3799822</v>
      </c>
      <c r="I2089" s="597"/>
      <c r="J2089" s="323" t="s">
        <v>5101</v>
      </c>
    </row>
    <row r="2090" spans="1:10" x14ac:dyDescent="0.25">
      <c r="A2090" s="321" t="s">
        <v>4906</v>
      </c>
      <c r="B2090" s="323" t="s">
        <v>121</v>
      </c>
      <c r="C2090" s="323" t="s">
        <v>238</v>
      </c>
      <c r="D2090" s="392" t="s">
        <v>1446</v>
      </c>
      <c r="E2090" s="387">
        <v>350416</v>
      </c>
      <c r="F2090" s="594" t="s">
        <v>4971</v>
      </c>
      <c r="G2090" s="578">
        <v>44.95</v>
      </c>
      <c r="H2090" s="597">
        <v>3803435</v>
      </c>
      <c r="I2090" s="597"/>
      <c r="J2090" s="323" t="s">
        <v>4966</v>
      </c>
    </row>
    <row r="2091" spans="1:10" x14ac:dyDescent="0.25">
      <c r="A2091" s="321" t="s">
        <v>4906</v>
      </c>
      <c r="B2091" s="323" t="s">
        <v>121</v>
      </c>
      <c r="C2091" s="323" t="s">
        <v>238</v>
      </c>
      <c r="D2091" s="392" t="s">
        <v>2924</v>
      </c>
      <c r="E2091" s="387">
        <v>352656</v>
      </c>
      <c r="F2091" s="594" t="s">
        <v>5070</v>
      </c>
      <c r="G2091" s="578">
        <v>89.67</v>
      </c>
      <c r="H2091" s="597">
        <v>3803486</v>
      </c>
      <c r="I2091" s="597"/>
      <c r="J2091" s="323" t="s">
        <v>5063</v>
      </c>
    </row>
    <row r="2092" spans="1:10" x14ac:dyDescent="0.25">
      <c r="A2092" s="321" t="s">
        <v>4906</v>
      </c>
      <c r="B2092" s="323" t="s">
        <v>121</v>
      </c>
      <c r="C2092" s="323" t="s">
        <v>238</v>
      </c>
      <c r="D2092" s="392" t="s">
        <v>5105</v>
      </c>
      <c r="E2092" s="387">
        <v>350213</v>
      </c>
      <c r="F2092" s="594" t="s">
        <v>5108</v>
      </c>
      <c r="G2092" s="578">
        <v>192.6</v>
      </c>
      <c r="H2092" s="597">
        <v>3803682</v>
      </c>
      <c r="I2092" s="597"/>
      <c r="J2092" s="323" t="s">
        <v>5098</v>
      </c>
    </row>
    <row r="2093" spans="1:10" x14ac:dyDescent="0.25">
      <c r="A2093" s="321" t="s">
        <v>4906</v>
      </c>
      <c r="B2093" s="323" t="s">
        <v>121</v>
      </c>
      <c r="C2093" s="323" t="s">
        <v>238</v>
      </c>
      <c r="D2093" s="392" t="s">
        <v>2852</v>
      </c>
      <c r="E2093" s="387">
        <v>352773</v>
      </c>
      <c r="F2093" s="594" t="s">
        <v>5054</v>
      </c>
      <c r="G2093" s="578">
        <v>77.95</v>
      </c>
      <c r="H2093" s="597">
        <v>3803692</v>
      </c>
      <c r="I2093" s="597"/>
      <c r="J2093" s="323" t="s">
        <v>5050</v>
      </c>
    </row>
    <row r="2094" spans="1:10" x14ac:dyDescent="0.25">
      <c r="A2094" s="321" t="s">
        <v>4906</v>
      </c>
      <c r="B2094" s="323" t="s">
        <v>121</v>
      </c>
      <c r="C2094" s="323" t="s">
        <v>238</v>
      </c>
      <c r="D2094" s="392" t="s">
        <v>4849</v>
      </c>
      <c r="E2094" s="387">
        <v>351811</v>
      </c>
      <c r="F2094" s="594" t="s">
        <v>5002</v>
      </c>
      <c r="G2094" s="578">
        <v>51.95</v>
      </c>
      <c r="H2094" s="597">
        <v>3803740</v>
      </c>
      <c r="I2094" s="597"/>
      <c r="J2094" s="323" t="s">
        <v>4994</v>
      </c>
    </row>
    <row r="2095" spans="1:10" x14ac:dyDescent="0.25">
      <c r="A2095" s="321" t="s">
        <v>4906</v>
      </c>
      <c r="B2095" s="323" t="s">
        <v>121</v>
      </c>
      <c r="C2095" s="323" t="s">
        <v>238</v>
      </c>
      <c r="D2095" s="392" t="s">
        <v>2820</v>
      </c>
      <c r="E2095" s="387">
        <v>350632</v>
      </c>
      <c r="F2095" s="594" t="s">
        <v>5042</v>
      </c>
      <c r="G2095" s="578">
        <v>68.64</v>
      </c>
      <c r="H2095" s="597">
        <v>3804444</v>
      </c>
      <c r="I2095" s="597"/>
      <c r="J2095" s="323" t="s">
        <v>5038</v>
      </c>
    </row>
    <row r="2096" spans="1:10" x14ac:dyDescent="0.25">
      <c r="A2096" s="321" t="s">
        <v>4906</v>
      </c>
      <c r="B2096" s="323" t="s">
        <v>121</v>
      </c>
      <c r="C2096" s="323" t="s">
        <v>238</v>
      </c>
      <c r="D2096" s="392" t="s">
        <v>3454</v>
      </c>
      <c r="E2096" s="387">
        <v>350200</v>
      </c>
      <c r="F2096" s="594" t="s">
        <v>5018</v>
      </c>
      <c r="G2096" s="578">
        <v>57</v>
      </c>
      <c r="H2096" s="597">
        <v>3804453</v>
      </c>
      <c r="I2096" s="597"/>
      <c r="J2096" s="323" t="s">
        <v>5011</v>
      </c>
    </row>
    <row r="2097" spans="1:10" x14ac:dyDescent="0.25">
      <c r="A2097" s="321" t="s">
        <v>4906</v>
      </c>
      <c r="B2097" s="323" t="s">
        <v>121</v>
      </c>
      <c r="C2097" s="323" t="s">
        <v>238</v>
      </c>
      <c r="D2097" s="392" t="s">
        <v>2234</v>
      </c>
      <c r="E2097" s="387">
        <v>353018</v>
      </c>
      <c r="F2097" s="594" t="s">
        <v>5090</v>
      </c>
      <c r="G2097" s="578">
        <v>70.09</v>
      </c>
      <c r="H2097" s="597">
        <v>3804647</v>
      </c>
      <c r="I2097" s="597"/>
      <c r="J2097" s="323" t="s">
        <v>5083</v>
      </c>
    </row>
    <row r="2098" spans="1:10" x14ac:dyDescent="0.25">
      <c r="A2098" s="321" t="s">
        <v>4906</v>
      </c>
      <c r="B2098" s="323" t="s">
        <v>121</v>
      </c>
      <c r="C2098" s="323" t="s">
        <v>238</v>
      </c>
      <c r="D2098" s="392" t="s">
        <v>4927</v>
      </c>
      <c r="E2098" s="387">
        <v>212196</v>
      </c>
      <c r="F2098" s="594" t="s">
        <v>4935</v>
      </c>
      <c r="G2098" s="578">
        <v>33.75</v>
      </c>
      <c r="H2098" s="597">
        <v>3804841</v>
      </c>
      <c r="I2098" s="597"/>
      <c r="J2098" s="323" t="s">
        <v>4922</v>
      </c>
    </row>
    <row r="2099" spans="1:10" x14ac:dyDescent="0.25">
      <c r="A2099" s="321" t="s">
        <v>4906</v>
      </c>
      <c r="B2099" s="323" t="s">
        <v>121</v>
      </c>
      <c r="C2099" s="323" t="s">
        <v>238</v>
      </c>
      <c r="D2099" s="392" t="s">
        <v>5000</v>
      </c>
      <c r="E2099" s="387">
        <v>273</v>
      </c>
      <c r="F2099" s="594" t="s">
        <v>5006</v>
      </c>
      <c r="G2099" s="578">
        <v>55.15</v>
      </c>
      <c r="H2099" s="597">
        <v>3805031</v>
      </c>
      <c r="I2099" s="597"/>
      <c r="J2099" s="323" t="s">
        <v>4998</v>
      </c>
    </row>
    <row r="2100" spans="1:10" x14ac:dyDescent="0.25">
      <c r="A2100" s="321" t="s">
        <v>4906</v>
      </c>
      <c r="B2100" s="323" t="s">
        <v>121</v>
      </c>
      <c r="C2100" s="323" t="s">
        <v>238</v>
      </c>
      <c r="D2100" s="392" t="s">
        <v>2548</v>
      </c>
      <c r="E2100" s="387">
        <v>351745</v>
      </c>
      <c r="F2100" s="594" t="s">
        <v>5066</v>
      </c>
      <c r="G2100" s="578">
        <v>82.1</v>
      </c>
      <c r="H2100" s="597">
        <v>3805056</v>
      </c>
      <c r="I2100" s="597"/>
      <c r="J2100" s="323" t="s">
        <v>5058</v>
      </c>
    </row>
    <row r="2101" spans="1:10" x14ac:dyDescent="0.25">
      <c r="A2101" s="321" t="s">
        <v>4906</v>
      </c>
      <c r="B2101" s="323" t="s">
        <v>121</v>
      </c>
      <c r="C2101" s="323" t="s">
        <v>238</v>
      </c>
      <c r="D2101" s="392" t="s">
        <v>4336</v>
      </c>
      <c r="E2101" s="387">
        <v>350376</v>
      </c>
      <c r="F2101" s="594" t="s">
        <v>2097</v>
      </c>
      <c r="G2101" s="578">
        <v>57.9</v>
      </c>
      <c r="H2101" s="597">
        <v>3805119</v>
      </c>
      <c r="I2101" s="597"/>
      <c r="J2101" s="323" t="s">
        <v>5012</v>
      </c>
    </row>
    <row r="2102" spans="1:10" x14ac:dyDescent="0.25">
      <c r="A2102" s="321" t="s">
        <v>4906</v>
      </c>
      <c r="B2102" s="323" t="s">
        <v>121</v>
      </c>
      <c r="C2102" s="323" t="s">
        <v>238</v>
      </c>
      <c r="D2102" s="392" t="s">
        <v>4568</v>
      </c>
      <c r="E2102" s="387">
        <v>215252</v>
      </c>
      <c r="F2102" s="594" t="s">
        <v>4961</v>
      </c>
      <c r="G2102" s="578">
        <v>40.409999999999997</v>
      </c>
      <c r="H2102" s="597">
        <v>3805186</v>
      </c>
      <c r="I2102" s="597"/>
      <c r="J2102" s="323" t="s">
        <v>4955</v>
      </c>
    </row>
    <row r="2103" spans="1:10" x14ac:dyDescent="0.25">
      <c r="A2103" s="321" t="s">
        <v>4906</v>
      </c>
      <c r="B2103" s="323" t="s">
        <v>121</v>
      </c>
      <c r="C2103" s="323" t="s">
        <v>238</v>
      </c>
      <c r="D2103" s="392" t="s">
        <v>1989</v>
      </c>
      <c r="E2103" s="387">
        <v>353346</v>
      </c>
      <c r="F2103" s="594" t="s">
        <v>5095</v>
      </c>
      <c r="G2103" s="578">
        <v>66.16</v>
      </c>
      <c r="H2103" s="597">
        <v>3805251</v>
      </c>
      <c r="I2103" s="597"/>
      <c r="J2103" s="323" t="s">
        <v>5093</v>
      </c>
    </row>
    <row r="2104" spans="1:10" x14ac:dyDescent="0.25">
      <c r="A2104" s="321" t="s">
        <v>4906</v>
      </c>
      <c r="B2104" s="323" t="s">
        <v>121</v>
      </c>
      <c r="C2104" s="323" t="s">
        <v>238</v>
      </c>
      <c r="D2104" s="392">
        <v>376265835995</v>
      </c>
      <c r="E2104" s="387">
        <v>350433</v>
      </c>
      <c r="F2104" s="594" t="s">
        <v>5119</v>
      </c>
      <c r="G2104" s="578">
        <v>496.32</v>
      </c>
      <c r="H2104" s="597">
        <v>3805432</v>
      </c>
      <c r="I2104" s="597"/>
      <c r="J2104" s="323" t="s">
        <v>5118</v>
      </c>
    </row>
    <row r="2105" spans="1:10" x14ac:dyDescent="0.25">
      <c r="A2105" s="321" t="s">
        <v>4906</v>
      </c>
      <c r="B2105" s="323" t="s">
        <v>121</v>
      </c>
      <c r="C2105" s="323" t="s">
        <v>238</v>
      </c>
      <c r="D2105" s="392" t="s">
        <v>5010</v>
      </c>
      <c r="E2105" s="387">
        <v>225545</v>
      </c>
      <c r="F2105" s="594" t="s">
        <v>5023</v>
      </c>
      <c r="G2105" s="578">
        <v>63.55</v>
      </c>
      <c r="H2105" s="597">
        <v>3805436</v>
      </c>
      <c r="I2105" s="597"/>
      <c r="J2105" s="323" t="s">
        <v>5017</v>
      </c>
    </row>
    <row r="2106" spans="1:10" x14ac:dyDescent="0.25">
      <c r="A2106" s="321" t="s">
        <v>4906</v>
      </c>
      <c r="B2106" s="323" t="s">
        <v>121</v>
      </c>
      <c r="C2106" s="323" t="s">
        <v>238</v>
      </c>
      <c r="D2106" s="392" t="s">
        <v>5053</v>
      </c>
      <c r="E2106" s="387">
        <v>101180</v>
      </c>
      <c r="F2106" s="594" t="s">
        <v>5055</v>
      </c>
      <c r="G2106" s="578">
        <v>78.459999999999994</v>
      </c>
      <c r="H2106" s="597">
        <v>3805442</v>
      </c>
      <c r="I2106" s="597"/>
      <c r="J2106" s="323" t="s">
        <v>5051</v>
      </c>
    </row>
    <row r="2107" spans="1:10" x14ac:dyDescent="0.25">
      <c r="A2107" s="321" t="s">
        <v>4906</v>
      </c>
      <c r="B2107" s="323" t="s">
        <v>121</v>
      </c>
      <c r="C2107" s="323" t="s">
        <v>238</v>
      </c>
      <c r="D2107" s="392" t="s">
        <v>2269</v>
      </c>
      <c r="E2107" s="387">
        <v>351251</v>
      </c>
      <c r="F2107" s="594" t="s">
        <v>5088</v>
      </c>
      <c r="G2107" s="578">
        <v>61.66</v>
      </c>
      <c r="H2107" s="597">
        <v>3805494</v>
      </c>
      <c r="I2107" s="597"/>
      <c r="J2107" s="323" t="s">
        <v>5082</v>
      </c>
    </row>
    <row r="2108" spans="1:10" x14ac:dyDescent="0.25">
      <c r="A2108" s="321" t="s">
        <v>4906</v>
      </c>
      <c r="B2108" s="323" t="s">
        <v>121</v>
      </c>
      <c r="C2108" s="323" t="s">
        <v>238</v>
      </c>
      <c r="D2108" s="392" t="s">
        <v>1366</v>
      </c>
      <c r="E2108" s="387">
        <v>201238</v>
      </c>
      <c r="F2108" s="594" t="s">
        <v>5030</v>
      </c>
      <c r="G2108" s="578">
        <v>64.95</v>
      </c>
      <c r="H2108" s="597">
        <v>3805571</v>
      </c>
      <c r="I2108" s="597"/>
      <c r="J2108" s="323" t="s">
        <v>5024</v>
      </c>
    </row>
    <row r="2109" spans="1:10" x14ac:dyDescent="0.25">
      <c r="A2109" s="321" t="s">
        <v>4906</v>
      </c>
      <c r="B2109" s="323" t="s">
        <v>121</v>
      </c>
      <c r="C2109" s="323" t="s">
        <v>238</v>
      </c>
      <c r="D2109" s="392" t="s">
        <v>1459</v>
      </c>
      <c r="E2109" s="387">
        <v>211617</v>
      </c>
      <c r="F2109" s="594" t="s">
        <v>5089</v>
      </c>
      <c r="G2109" s="578">
        <v>59.91</v>
      </c>
      <c r="H2109" s="597">
        <v>3805643</v>
      </c>
      <c r="I2109" s="597"/>
      <c r="J2109" s="323" t="s">
        <v>5084</v>
      </c>
    </row>
    <row r="2110" spans="1:10" x14ac:dyDescent="0.25">
      <c r="A2110" s="321" t="s">
        <v>4906</v>
      </c>
      <c r="B2110" s="323" t="s">
        <v>121</v>
      </c>
      <c r="C2110" s="323" t="s">
        <v>238</v>
      </c>
      <c r="D2110" s="392" t="s">
        <v>4947</v>
      </c>
      <c r="E2110" s="387">
        <v>352634</v>
      </c>
      <c r="F2110" s="594" t="s">
        <v>4957</v>
      </c>
      <c r="G2110" s="578">
        <v>39.229999999999997</v>
      </c>
      <c r="H2110" s="597">
        <v>3805659</v>
      </c>
      <c r="I2110" s="597"/>
      <c r="J2110" s="323" t="s">
        <v>4951</v>
      </c>
    </row>
    <row r="2111" spans="1:10" x14ac:dyDescent="0.25">
      <c r="A2111" s="321" t="s">
        <v>4906</v>
      </c>
      <c r="B2111" s="323" t="s">
        <v>121</v>
      </c>
      <c r="C2111" s="323" t="s">
        <v>238</v>
      </c>
      <c r="D2111" s="392" t="s">
        <v>91</v>
      </c>
      <c r="E2111" s="387">
        <v>350259</v>
      </c>
      <c r="F2111" s="594" t="s">
        <v>5003</v>
      </c>
      <c r="G2111" s="578">
        <v>53.15</v>
      </c>
      <c r="H2111" s="597">
        <v>3805807</v>
      </c>
      <c r="I2111" s="597"/>
      <c r="J2111" s="323" t="s">
        <v>4995</v>
      </c>
    </row>
    <row r="2112" spans="1:10" x14ac:dyDescent="0.25">
      <c r="A2112" s="321" t="s">
        <v>4906</v>
      </c>
      <c r="B2112" s="323" t="s">
        <v>121</v>
      </c>
      <c r="C2112" s="323" t="s">
        <v>238</v>
      </c>
      <c r="D2112" s="392" t="s">
        <v>3660</v>
      </c>
      <c r="E2112" s="387">
        <v>350478</v>
      </c>
      <c r="F2112" s="594" t="s">
        <v>4933</v>
      </c>
      <c r="G2112" s="578">
        <v>32.450000000000003</v>
      </c>
      <c r="H2112" s="597">
        <v>3806059</v>
      </c>
      <c r="I2112" s="597"/>
      <c r="J2112" s="323" t="s">
        <v>4920</v>
      </c>
    </row>
    <row r="2113" spans="1:10" x14ac:dyDescent="0.25">
      <c r="A2113" s="321" t="s">
        <v>4906</v>
      </c>
      <c r="B2113" s="323" t="s">
        <v>121</v>
      </c>
      <c r="C2113" s="323" t="s">
        <v>238</v>
      </c>
      <c r="D2113" s="392" t="s">
        <v>2605</v>
      </c>
      <c r="E2113" s="387">
        <v>352956</v>
      </c>
      <c r="F2113" s="594" t="s">
        <v>5114</v>
      </c>
      <c r="G2113" s="578">
        <v>163.9</v>
      </c>
      <c r="H2113" s="597">
        <v>3806125</v>
      </c>
      <c r="I2113" s="597"/>
      <c r="J2113" s="323" t="s">
        <v>5097</v>
      </c>
    </row>
    <row r="2114" spans="1:10" x14ac:dyDescent="0.25">
      <c r="A2114" s="321" t="s">
        <v>4906</v>
      </c>
      <c r="B2114" s="323" t="s">
        <v>121</v>
      </c>
      <c r="C2114" s="323" t="s">
        <v>238</v>
      </c>
      <c r="D2114" s="392" t="s">
        <v>4623</v>
      </c>
      <c r="E2114" s="387">
        <v>352846</v>
      </c>
      <c r="F2114" s="594" t="s">
        <v>5109</v>
      </c>
      <c r="G2114" s="578">
        <v>201.42</v>
      </c>
      <c r="H2114" s="597">
        <v>3806186</v>
      </c>
      <c r="I2114" s="597"/>
      <c r="J2114" s="323" t="s">
        <v>5099</v>
      </c>
    </row>
    <row r="2115" spans="1:10" x14ac:dyDescent="0.25">
      <c r="A2115" s="321" t="s">
        <v>4906</v>
      </c>
      <c r="B2115" s="323" t="s">
        <v>121</v>
      </c>
      <c r="C2115" s="323" t="s">
        <v>238</v>
      </c>
      <c r="D2115" s="392" t="s">
        <v>1375</v>
      </c>
      <c r="E2115" s="387">
        <v>351781</v>
      </c>
      <c r="F2115" s="594" t="s">
        <v>4973</v>
      </c>
      <c r="G2115" s="578">
        <v>45.77</v>
      </c>
      <c r="H2115" s="597">
        <v>3806359</v>
      </c>
      <c r="I2115" s="597"/>
      <c r="J2115" s="323" t="s">
        <v>4968</v>
      </c>
    </row>
    <row r="2116" spans="1:10" x14ac:dyDescent="0.25">
      <c r="A2116" s="321" t="s">
        <v>4906</v>
      </c>
      <c r="B2116" s="323" t="s">
        <v>121</v>
      </c>
      <c r="C2116" s="323" t="s">
        <v>238</v>
      </c>
      <c r="D2116" s="392" t="s">
        <v>5077</v>
      </c>
      <c r="E2116" s="387">
        <v>350537</v>
      </c>
      <c r="F2116" s="594" t="s">
        <v>5079</v>
      </c>
      <c r="G2116" s="578">
        <v>96.95</v>
      </c>
      <c r="H2116" s="597">
        <v>3806399</v>
      </c>
      <c r="I2116" s="597"/>
      <c r="J2116" s="323" t="s">
        <v>5076</v>
      </c>
    </row>
    <row r="2117" spans="1:10" x14ac:dyDescent="0.25">
      <c r="A2117" s="321" t="s">
        <v>4906</v>
      </c>
      <c r="B2117" s="323" t="s">
        <v>121</v>
      </c>
      <c r="C2117" s="323" t="s">
        <v>238</v>
      </c>
      <c r="D2117" s="392" t="s">
        <v>392</v>
      </c>
      <c r="E2117" s="387">
        <v>350600</v>
      </c>
      <c r="F2117" s="594" t="s">
        <v>5086</v>
      </c>
      <c r="G2117" s="578">
        <v>108.85</v>
      </c>
      <c r="H2117" s="597">
        <v>3806561</v>
      </c>
      <c r="I2117" s="597"/>
      <c r="J2117" s="323" t="s">
        <v>5081</v>
      </c>
    </row>
    <row r="2118" spans="1:10" x14ac:dyDescent="0.25">
      <c r="A2118" s="321" t="s">
        <v>4906</v>
      </c>
      <c r="B2118" s="323" t="s">
        <v>121</v>
      </c>
      <c r="C2118" s="323" t="s">
        <v>238</v>
      </c>
      <c r="D2118" s="392" t="s">
        <v>5029</v>
      </c>
      <c r="E2118" s="387">
        <v>214544</v>
      </c>
      <c r="F2118" s="594" t="s">
        <v>5033</v>
      </c>
      <c r="G2118" s="578">
        <v>66.650000000000006</v>
      </c>
      <c r="H2118" s="597">
        <v>3806586</v>
      </c>
      <c r="I2118" s="597"/>
      <c r="J2118" s="323" t="s">
        <v>5027</v>
      </c>
    </row>
    <row r="2119" spans="1:10" x14ac:dyDescent="0.25">
      <c r="A2119" s="321" t="s">
        <v>4906</v>
      </c>
      <c r="B2119" s="323" t="s">
        <v>121</v>
      </c>
      <c r="C2119" s="323" t="s">
        <v>238</v>
      </c>
      <c r="D2119" s="392" t="s">
        <v>4422</v>
      </c>
      <c r="E2119" s="387">
        <v>352168</v>
      </c>
      <c r="F2119" s="594" t="s">
        <v>4962</v>
      </c>
      <c r="G2119" s="578">
        <v>38.65</v>
      </c>
      <c r="H2119" s="597">
        <v>3806592</v>
      </c>
      <c r="I2119" s="597"/>
      <c r="J2119" s="323" t="s">
        <v>4950</v>
      </c>
    </row>
    <row r="2120" spans="1:10" x14ac:dyDescent="0.25">
      <c r="A2120" s="321" t="s">
        <v>4906</v>
      </c>
      <c r="B2120" s="323" t="s">
        <v>121</v>
      </c>
      <c r="C2120" s="323" t="s">
        <v>238</v>
      </c>
      <c r="D2120" s="392" t="s">
        <v>2230</v>
      </c>
      <c r="E2120" s="387">
        <v>350400</v>
      </c>
      <c r="F2120" s="594" t="s">
        <v>5049</v>
      </c>
      <c r="G2120" s="578">
        <v>76.5</v>
      </c>
      <c r="H2120" s="597">
        <v>3806687</v>
      </c>
      <c r="I2120" s="597"/>
      <c r="J2120" s="323" t="s">
        <v>5046</v>
      </c>
    </row>
    <row r="2121" spans="1:10" x14ac:dyDescent="0.25">
      <c r="A2121" s="321" t="s">
        <v>4906</v>
      </c>
      <c r="B2121" s="323" t="s">
        <v>121</v>
      </c>
      <c r="C2121" s="323" t="s">
        <v>238</v>
      </c>
      <c r="D2121" s="392" t="s">
        <v>4989</v>
      </c>
      <c r="E2121" s="387">
        <v>350384</v>
      </c>
      <c r="F2121" s="594" t="s">
        <v>4990</v>
      </c>
      <c r="G2121" s="578">
        <v>50.33</v>
      </c>
      <c r="H2121" s="597">
        <v>3806736</v>
      </c>
      <c r="I2121" s="597"/>
      <c r="J2121" s="323" t="s">
        <v>4988</v>
      </c>
    </row>
    <row r="2122" spans="1:10" x14ac:dyDescent="0.25">
      <c r="A2122" s="321" t="s">
        <v>4906</v>
      </c>
      <c r="B2122" s="323" t="s">
        <v>121</v>
      </c>
      <c r="C2122" s="323" t="s">
        <v>238</v>
      </c>
      <c r="D2122" s="392" t="s">
        <v>2320</v>
      </c>
      <c r="E2122" s="387">
        <v>351288</v>
      </c>
      <c r="F2122" s="594" t="s">
        <v>5110</v>
      </c>
      <c r="G2122" s="578">
        <v>61.26</v>
      </c>
      <c r="H2122" s="597">
        <v>3806781</v>
      </c>
      <c r="I2122" s="597"/>
      <c r="J2122" s="323" t="s">
        <v>5100</v>
      </c>
    </row>
    <row r="2123" spans="1:10" x14ac:dyDescent="0.25">
      <c r="A2123" s="321" t="s">
        <v>4906</v>
      </c>
      <c r="B2123" s="323" t="s">
        <v>121</v>
      </c>
      <c r="C2123" s="323" t="s">
        <v>238</v>
      </c>
      <c r="D2123" s="392" t="s">
        <v>1263</v>
      </c>
      <c r="E2123" s="387">
        <v>350372</v>
      </c>
      <c r="F2123" s="594" t="s">
        <v>4974</v>
      </c>
      <c r="G2123" s="578">
        <v>44.36</v>
      </c>
      <c r="H2123" s="597">
        <v>3806802</v>
      </c>
      <c r="I2123" s="597"/>
      <c r="J2123" s="323" t="s">
        <v>4965</v>
      </c>
    </row>
    <row r="2124" spans="1:10" x14ac:dyDescent="0.25">
      <c r="A2124" s="321" t="s">
        <v>4906</v>
      </c>
      <c r="B2124" s="323" t="s">
        <v>121</v>
      </c>
      <c r="C2124" s="323" t="s">
        <v>238</v>
      </c>
      <c r="D2124" s="392" t="s">
        <v>2339</v>
      </c>
      <c r="E2124" s="387">
        <v>217937</v>
      </c>
      <c r="F2124" s="594" t="s">
        <v>4987</v>
      </c>
      <c r="G2124" s="578">
        <v>48.15</v>
      </c>
      <c r="H2124" s="597">
        <v>3806808</v>
      </c>
      <c r="I2124" s="597"/>
      <c r="J2124" s="323" t="s">
        <v>4985</v>
      </c>
    </row>
    <row r="2125" spans="1:10" x14ac:dyDescent="0.25">
      <c r="A2125" s="321" t="s">
        <v>4906</v>
      </c>
      <c r="B2125" s="323" t="s">
        <v>121</v>
      </c>
      <c r="C2125" s="323" t="s">
        <v>238</v>
      </c>
      <c r="D2125" s="392" t="s">
        <v>2269</v>
      </c>
      <c r="E2125" s="387">
        <v>351251</v>
      </c>
      <c r="F2125" s="594" t="s">
        <v>5087</v>
      </c>
      <c r="G2125" s="578">
        <v>53.11</v>
      </c>
      <c r="H2125" s="597">
        <v>3806830</v>
      </c>
      <c r="I2125" s="597"/>
      <c r="J2125" s="323" t="s">
        <v>5082</v>
      </c>
    </row>
    <row r="2126" spans="1:10" x14ac:dyDescent="0.25">
      <c r="A2126" s="321" t="s">
        <v>4906</v>
      </c>
      <c r="B2126" s="323" t="s">
        <v>121</v>
      </c>
      <c r="C2126" s="323" t="s">
        <v>238</v>
      </c>
      <c r="D2126" s="392" t="s">
        <v>3388</v>
      </c>
      <c r="E2126" s="387">
        <v>350464</v>
      </c>
      <c r="F2126" s="594" t="s">
        <v>4960</v>
      </c>
      <c r="G2126" s="578">
        <v>40.33</v>
      </c>
      <c r="H2126" s="597">
        <v>3806863</v>
      </c>
      <c r="I2126" s="597"/>
      <c r="J2126" s="323" t="s">
        <v>4954</v>
      </c>
    </row>
    <row r="2127" spans="1:10" x14ac:dyDescent="0.25">
      <c r="A2127" s="321" t="s">
        <v>4906</v>
      </c>
      <c r="B2127" s="323" t="s">
        <v>121</v>
      </c>
      <c r="C2127" s="323" t="s">
        <v>238</v>
      </c>
      <c r="D2127" s="392" t="s">
        <v>1291</v>
      </c>
      <c r="E2127" s="387">
        <v>351726</v>
      </c>
      <c r="F2127" s="594" t="s">
        <v>4956</v>
      </c>
      <c r="G2127" s="578">
        <v>38.57</v>
      </c>
      <c r="H2127" s="597">
        <v>3806892</v>
      </c>
      <c r="I2127" s="597"/>
      <c r="J2127" s="323" t="s">
        <v>4949</v>
      </c>
    </row>
    <row r="2128" spans="1:10" x14ac:dyDescent="0.25">
      <c r="A2128" s="321" t="s">
        <v>4906</v>
      </c>
      <c r="B2128" s="323" t="s">
        <v>121</v>
      </c>
      <c r="C2128" s="323" t="s">
        <v>238</v>
      </c>
      <c r="D2128" s="392" t="s">
        <v>5104</v>
      </c>
      <c r="E2128" s="387">
        <v>350853</v>
      </c>
      <c r="F2128" s="594" t="s">
        <v>5107</v>
      </c>
      <c r="G2128" s="578">
        <v>159.94999999999999</v>
      </c>
      <c r="H2128" s="597">
        <v>3806924</v>
      </c>
      <c r="I2128" s="597"/>
      <c r="J2128" s="323" t="s">
        <v>5096</v>
      </c>
    </row>
    <row r="2129" spans="1:10" x14ac:dyDescent="0.25">
      <c r="A2129" s="321" t="s">
        <v>4906</v>
      </c>
      <c r="B2129" s="323" t="s">
        <v>121</v>
      </c>
      <c r="C2129" s="323" t="s">
        <v>238</v>
      </c>
      <c r="D2129" s="392" t="s">
        <v>2225</v>
      </c>
      <c r="E2129" s="387">
        <v>215404</v>
      </c>
      <c r="F2129" s="594" t="s">
        <v>4939</v>
      </c>
      <c r="G2129" s="578">
        <v>30.65</v>
      </c>
      <c r="H2129" s="597">
        <v>3806931</v>
      </c>
      <c r="I2129" s="597"/>
      <c r="J2129" s="323" t="s">
        <v>4917</v>
      </c>
    </row>
    <row r="2130" spans="1:10" x14ac:dyDescent="0.25">
      <c r="A2130" s="321" t="s">
        <v>4906</v>
      </c>
      <c r="B2130" s="323" t="s">
        <v>121</v>
      </c>
      <c r="C2130" s="323" t="s">
        <v>238</v>
      </c>
      <c r="D2130" s="392" t="s">
        <v>5121</v>
      </c>
      <c r="E2130" s="387">
        <v>352641</v>
      </c>
      <c r="F2130" s="594" t="s">
        <v>5123</v>
      </c>
      <c r="G2130" s="578">
        <v>55.98</v>
      </c>
      <c r="H2130" s="597">
        <v>3806959</v>
      </c>
      <c r="I2130" s="597"/>
      <c r="J2130" s="323" t="s">
        <v>5120</v>
      </c>
    </row>
    <row r="2131" spans="1:10" x14ac:dyDescent="0.25">
      <c r="A2131" s="321" t="s">
        <v>4906</v>
      </c>
      <c r="B2131" s="323" t="s">
        <v>121</v>
      </c>
      <c r="C2131" s="323" t="s">
        <v>238</v>
      </c>
      <c r="D2131" s="392" t="s">
        <v>75</v>
      </c>
      <c r="E2131" s="387">
        <v>350332</v>
      </c>
      <c r="F2131" s="594" t="s">
        <v>4945</v>
      </c>
      <c r="G2131" s="578">
        <v>37.85</v>
      </c>
      <c r="H2131" s="597">
        <v>3807003</v>
      </c>
      <c r="I2131" s="597"/>
      <c r="J2131" s="323" t="s">
        <v>4941</v>
      </c>
    </row>
    <row r="2132" spans="1:10" x14ac:dyDescent="0.25">
      <c r="A2132" s="321" t="s">
        <v>4906</v>
      </c>
      <c r="B2132" s="323" t="s">
        <v>121</v>
      </c>
      <c r="C2132" s="323" t="s">
        <v>238</v>
      </c>
      <c r="D2132" s="392" t="s">
        <v>2644</v>
      </c>
      <c r="E2132" s="387">
        <v>352459</v>
      </c>
      <c r="F2132" s="594" t="s">
        <v>4982</v>
      </c>
      <c r="G2132" s="578">
        <v>47.35</v>
      </c>
      <c r="H2132" s="597">
        <v>3807012</v>
      </c>
      <c r="I2132" s="597"/>
      <c r="J2132" s="323" t="s">
        <v>4978</v>
      </c>
    </row>
    <row r="2133" spans="1:10" x14ac:dyDescent="0.25">
      <c r="A2133" s="321" t="s">
        <v>4906</v>
      </c>
      <c r="B2133" s="323" t="s">
        <v>121</v>
      </c>
      <c r="C2133" s="323" t="s">
        <v>238</v>
      </c>
      <c r="D2133" s="392" t="s">
        <v>2382</v>
      </c>
      <c r="E2133" s="387">
        <v>350251</v>
      </c>
      <c r="F2133" s="594" t="s">
        <v>5008</v>
      </c>
      <c r="G2133" s="578">
        <v>51.57</v>
      </c>
      <c r="H2133" s="597">
        <v>3807059</v>
      </c>
      <c r="I2133" s="597"/>
      <c r="J2133" s="323" t="s">
        <v>4993</v>
      </c>
    </row>
    <row r="2134" spans="1:10" x14ac:dyDescent="0.25">
      <c r="A2134" s="321" t="s">
        <v>4906</v>
      </c>
      <c r="B2134" s="323" t="s">
        <v>121</v>
      </c>
      <c r="C2134" s="323" t="s">
        <v>238</v>
      </c>
      <c r="D2134" s="392" t="s">
        <v>4908</v>
      </c>
      <c r="E2134" s="387">
        <v>350280</v>
      </c>
      <c r="F2134" s="594" t="s">
        <v>4912</v>
      </c>
      <c r="G2134" s="578">
        <v>26.05</v>
      </c>
      <c r="H2134" s="597">
        <v>3807082</v>
      </c>
      <c r="I2134" s="597"/>
      <c r="J2134" s="323" t="s">
        <v>4907</v>
      </c>
    </row>
    <row r="2135" spans="1:10" x14ac:dyDescent="0.25">
      <c r="A2135" s="321" t="s">
        <v>4906</v>
      </c>
      <c r="B2135" s="323" t="s">
        <v>121</v>
      </c>
      <c r="C2135" s="323" t="s">
        <v>238</v>
      </c>
      <c r="D2135" s="392" t="s">
        <v>2487</v>
      </c>
      <c r="E2135" s="387">
        <v>352943</v>
      </c>
      <c r="F2135" s="594" t="s">
        <v>4914</v>
      </c>
      <c r="G2135" s="578">
        <v>28.65</v>
      </c>
      <c r="H2135" s="597">
        <v>3807106</v>
      </c>
      <c r="I2135" s="597"/>
      <c r="J2135" s="323" t="s">
        <v>4910</v>
      </c>
    </row>
    <row r="2136" spans="1:10" x14ac:dyDescent="0.25">
      <c r="A2136" s="321" t="s">
        <v>4906</v>
      </c>
      <c r="B2136" s="323" t="s">
        <v>121</v>
      </c>
      <c r="C2136" s="323" t="s">
        <v>238</v>
      </c>
      <c r="D2136" s="392" t="s">
        <v>4904</v>
      </c>
      <c r="E2136" s="387">
        <v>351426</v>
      </c>
      <c r="F2136" s="594" t="s">
        <v>4911</v>
      </c>
      <c r="G2136" s="578">
        <v>23.85</v>
      </c>
      <c r="H2136" s="597">
        <v>3807117</v>
      </c>
      <c r="I2136" s="597"/>
      <c r="J2136" s="323" t="s">
        <v>4902</v>
      </c>
    </row>
    <row r="2137" spans="1:10" x14ac:dyDescent="0.25">
      <c r="A2137" s="321" t="s">
        <v>4906</v>
      </c>
      <c r="B2137" s="323" t="s">
        <v>121</v>
      </c>
      <c r="C2137" s="323" t="s">
        <v>238</v>
      </c>
      <c r="D2137" s="392" t="s">
        <v>3849</v>
      </c>
      <c r="E2137" s="387">
        <v>216035</v>
      </c>
      <c r="F2137" s="594" t="s">
        <v>4934</v>
      </c>
      <c r="G2137" s="578">
        <v>32.49</v>
      </c>
      <c r="H2137" s="597">
        <v>3807119</v>
      </c>
      <c r="I2137" s="597"/>
      <c r="J2137" s="323" t="s">
        <v>4921</v>
      </c>
    </row>
    <row r="2138" spans="1:10" x14ac:dyDescent="0.25">
      <c r="A2138" s="321" t="s">
        <v>4906</v>
      </c>
      <c r="B2138" s="323" t="s">
        <v>121</v>
      </c>
      <c r="C2138" s="323" t="s">
        <v>238</v>
      </c>
      <c r="D2138" s="392" t="s">
        <v>1363</v>
      </c>
      <c r="E2138" s="387">
        <v>350579</v>
      </c>
      <c r="F2138" s="594" t="s">
        <v>4938</v>
      </c>
      <c r="G2138" s="578">
        <v>36.4</v>
      </c>
      <c r="H2138" s="597">
        <v>3807144</v>
      </c>
      <c r="I2138" s="597"/>
      <c r="J2138" s="323" t="s">
        <v>4925</v>
      </c>
    </row>
    <row r="2139" spans="1:10" x14ac:dyDescent="0.25">
      <c r="A2139" s="321" t="s">
        <v>4906</v>
      </c>
      <c r="B2139" s="323" t="s">
        <v>121</v>
      </c>
      <c r="C2139" s="323" t="s">
        <v>238</v>
      </c>
      <c r="D2139" s="392" t="s">
        <v>4535</v>
      </c>
      <c r="E2139" s="387">
        <v>352579</v>
      </c>
      <c r="F2139" s="594" t="s">
        <v>5031</v>
      </c>
      <c r="G2139" s="578">
        <v>65.88</v>
      </c>
      <c r="H2139" s="597">
        <v>3807156</v>
      </c>
      <c r="I2139" s="597"/>
      <c r="J2139" s="323" t="s">
        <v>5025</v>
      </c>
    </row>
    <row r="2140" spans="1:10" x14ac:dyDescent="0.25">
      <c r="A2140" s="321" t="s">
        <v>4906</v>
      </c>
      <c r="B2140" s="323" t="s">
        <v>121</v>
      </c>
      <c r="C2140" s="323" t="s">
        <v>238</v>
      </c>
      <c r="D2140" s="392" t="s">
        <v>4979</v>
      </c>
      <c r="E2140" s="387">
        <v>351873</v>
      </c>
      <c r="F2140" s="594" t="s">
        <v>4983</v>
      </c>
      <c r="G2140" s="578">
        <v>47.05</v>
      </c>
      <c r="H2140" s="597">
        <v>3807198</v>
      </c>
      <c r="I2140" s="597"/>
      <c r="J2140" s="323" t="s">
        <v>4976</v>
      </c>
    </row>
    <row r="2141" spans="1:10" x14ac:dyDescent="0.25">
      <c r="A2141" s="321" t="s">
        <v>4906</v>
      </c>
      <c r="B2141" s="323" t="s">
        <v>121</v>
      </c>
      <c r="C2141" s="323" t="s">
        <v>238</v>
      </c>
      <c r="D2141" s="392" t="s">
        <v>2276</v>
      </c>
      <c r="E2141" s="387">
        <v>352528</v>
      </c>
      <c r="F2141" s="594" t="s">
        <v>5005</v>
      </c>
      <c r="G2141" s="578">
        <v>55</v>
      </c>
      <c r="H2141" s="597">
        <v>3807210</v>
      </c>
      <c r="I2141" s="597"/>
      <c r="J2141" s="323" t="s">
        <v>4997</v>
      </c>
    </row>
    <row r="2142" spans="1:10" x14ac:dyDescent="0.25">
      <c r="A2142" s="321" t="s">
        <v>4906</v>
      </c>
      <c r="B2142" s="323" t="s">
        <v>121</v>
      </c>
      <c r="C2142" s="323" t="s">
        <v>238</v>
      </c>
      <c r="D2142" s="392" t="s">
        <v>2236</v>
      </c>
      <c r="E2142" s="387"/>
      <c r="F2142" s="594" t="s">
        <v>5124</v>
      </c>
      <c r="G2142" s="578">
        <v>56.95</v>
      </c>
      <c r="H2142" s="597">
        <v>3807230</v>
      </c>
      <c r="I2142" s="597">
        <v>3806275</v>
      </c>
      <c r="J2142" s="323" t="s">
        <v>5122</v>
      </c>
    </row>
    <row r="2143" spans="1:10" x14ac:dyDescent="0.25">
      <c r="A2143" s="321" t="s">
        <v>4906</v>
      </c>
      <c r="B2143" s="323" t="s">
        <v>121</v>
      </c>
      <c r="C2143" s="323" t="s">
        <v>238</v>
      </c>
      <c r="D2143" s="392" t="s">
        <v>4043</v>
      </c>
      <c r="E2143" s="387">
        <v>353584</v>
      </c>
      <c r="F2143" s="594" t="s">
        <v>4930</v>
      </c>
      <c r="G2143" s="578">
        <v>30.58</v>
      </c>
      <c r="H2143" s="597">
        <v>3807232</v>
      </c>
      <c r="I2143" s="597"/>
      <c r="J2143" s="323" t="s">
        <v>4916</v>
      </c>
    </row>
    <row r="2144" spans="1:10" x14ac:dyDescent="0.25">
      <c r="A2144" s="321" t="s">
        <v>4906</v>
      </c>
      <c r="B2144" s="323" t="s">
        <v>121</v>
      </c>
      <c r="C2144" s="323" t="s">
        <v>238</v>
      </c>
      <c r="D2144" s="392" t="s">
        <v>53</v>
      </c>
      <c r="E2144" s="387">
        <v>352310</v>
      </c>
      <c r="F2144" s="594" t="s">
        <v>5069</v>
      </c>
      <c r="G2144" s="578">
        <f>31.77</f>
        <v>31.77</v>
      </c>
      <c r="H2144" s="597">
        <v>3807267</v>
      </c>
      <c r="I2144" s="597"/>
      <c r="J2144" s="323" t="s">
        <v>5062</v>
      </c>
    </row>
    <row r="2145" spans="1:10" x14ac:dyDescent="0.25">
      <c r="A2145" s="321" t="s">
        <v>4906</v>
      </c>
      <c r="B2145" s="323" t="s">
        <v>121</v>
      </c>
      <c r="C2145" s="323" t="s">
        <v>238</v>
      </c>
      <c r="D2145" s="392" t="s">
        <v>2320</v>
      </c>
      <c r="E2145" s="387">
        <v>351288</v>
      </c>
      <c r="F2145" s="594" t="s">
        <v>5116</v>
      </c>
      <c r="G2145" s="578">
        <f>87.08</f>
        <v>87.08</v>
      </c>
      <c r="H2145" s="597">
        <v>3807273</v>
      </c>
      <c r="I2145" s="597"/>
      <c r="J2145" s="323" t="s">
        <v>5100</v>
      </c>
    </row>
    <row r="2146" spans="1:10" x14ac:dyDescent="0.25">
      <c r="A2146" s="321" t="s">
        <v>4906</v>
      </c>
      <c r="B2146" s="323" t="s">
        <v>121</v>
      </c>
      <c r="C2146" s="323" t="s">
        <v>238</v>
      </c>
      <c r="D2146" s="392" t="s">
        <v>2234</v>
      </c>
      <c r="E2146" s="387">
        <v>353018</v>
      </c>
      <c r="F2146" s="594" t="s">
        <v>5092</v>
      </c>
      <c r="G2146" s="578">
        <v>44.88</v>
      </c>
      <c r="H2146" s="597">
        <v>3807277</v>
      </c>
      <c r="I2146" s="597"/>
      <c r="J2146" s="323" t="s">
        <v>5083</v>
      </c>
    </row>
    <row r="2147" spans="1:10" x14ac:dyDescent="0.25">
      <c r="A2147" s="321" t="s">
        <v>4906</v>
      </c>
      <c r="B2147" s="323" t="s">
        <v>121</v>
      </c>
      <c r="C2147" s="323" t="s">
        <v>238</v>
      </c>
      <c r="D2147" s="392" t="s">
        <v>212</v>
      </c>
      <c r="E2147" s="387">
        <v>350843</v>
      </c>
      <c r="F2147" s="594" t="s">
        <v>4981</v>
      </c>
      <c r="G2147" s="578">
        <v>47.26</v>
      </c>
      <c r="H2147" s="597">
        <v>3807369</v>
      </c>
      <c r="I2147" s="597"/>
      <c r="J2147" s="323" t="s">
        <v>4977</v>
      </c>
    </row>
    <row r="2148" spans="1:10" x14ac:dyDescent="0.25">
      <c r="A2148" s="321" t="s">
        <v>4906</v>
      </c>
      <c r="B2148" s="323" t="s">
        <v>121</v>
      </c>
      <c r="C2148" s="323" t="s">
        <v>238</v>
      </c>
      <c r="D2148" s="392" t="s">
        <v>2381</v>
      </c>
      <c r="E2148" s="387">
        <v>352903</v>
      </c>
      <c r="F2148" s="594" t="s">
        <v>4972</v>
      </c>
      <c r="G2148" s="578">
        <v>45.73</v>
      </c>
      <c r="H2148" s="597">
        <v>3807398</v>
      </c>
      <c r="I2148" s="597"/>
      <c r="J2148" s="323" t="s">
        <v>4967</v>
      </c>
    </row>
    <row r="2149" spans="1:10" x14ac:dyDescent="0.25">
      <c r="A2149" s="321" t="s">
        <v>4906</v>
      </c>
      <c r="B2149" s="323" t="s">
        <v>121</v>
      </c>
      <c r="C2149" s="323" t="s">
        <v>238</v>
      </c>
      <c r="D2149" s="392" t="s">
        <v>1459</v>
      </c>
      <c r="E2149" s="387">
        <v>211617</v>
      </c>
      <c r="F2149" s="594" t="s">
        <v>5091</v>
      </c>
      <c r="G2149" s="578">
        <v>56.4</v>
      </c>
      <c r="H2149" s="597">
        <v>3807415</v>
      </c>
      <c r="I2149" s="597"/>
      <c r="J2149" s="323" t="s">
        <v>5084</v>
      </c>
    </row>
    <row r="2150" spans="1:10" x14ac:dyDescent="0.25">
      <c r="A2150" s="321" t="s">
        <v>4906</v>
      </c>
      <c r="B2150" s="323" t="s">
        <v>121</v>
      </c>
      <c r="C2150" s="323" t="s">
        <v>238</v>
      </c>
      <c r="D2150" s="392" t="s">
        <v>2628</v>
      </c>
      <c r="E2150" s="387">
        <v>226771</v>
      </c>
      <c r="F2150" s="594" t="s">
        <v>5007</v>
      </c>
      <c r="G2150" s="578">
        <v>56.4</v>
      </c>
      <c r="H2150" s="597">
        <v>3807450</v>
      </c>
      <c r="I2150" s="597"/>
      <c r="J2150" s="323" t="s">
        <v>4999</v>
      </c>
    </row>
    <row r="2151" spans="1:10" x14ac:dyDescent="0.25">
      <c r="A2151" s="321" t="s">
        <v>4906</v>
      </c>
      <c r="B2151" s="323" t="s">
        <v>121</v>
      </c>
      <c r="C2151" s="323" t="s">
        <v>238</v>
      </c>
      <c r="D2151" s="392" t="s">
        <v>1345</v>
      </c>
      <c r="E2151" s="387">
        <v>222176</v>
      </c>
      <c r="F2151" s="594" t="s">
        <v>5048</v>
      </c>
      <c r="G2151" s="578">
        <v>76.22</v>
      </c>
      <c r="H2151" s="597">
        <v>3807530</v>
      </c>
      <c r="I2151" s="597"/>
      <c r="J2151" s="323" t="s">
        <v>5045</v>
      </c>
    </row>
    <row r="2152" spans="1:10" x14ac:dyDescent="0.25">
      <c r="A2152" s="321" t="s">
        <v>4906</v>
      </c>
      <c r="B2152" s="323" t="s">
        <v>121</v>
      </c>
      <c r="C2152" s="323" t="s">
        <v>238</v>
      </c>
      <c r="D2152" s="392" t="s">
        <v>5057</v>
      </c>
      <c r="E2152" s="387">
        <v>351261</v>
      </c>
      <c r="F2152" s="594" t="s">
        <v>5073</v>
      </c>
      <c r="G2152" s="578">
        <v>86.95</v>
      </c>
      <c r="H2152" s="597">
        <v>3807591</v>
      </c>
      <c r="I2152" s="597"/>
      <c r="J2152" s="323" t="s">
        <v>5059</v>
      </c>
    </row>
    <row r="2153" spans="1:10" x14ac:dyDescent="0.25">
      <c r="A2153" s="321" t="s">
        <v>4906</v>
      </c>
      <c r="B2153" s="323" t="s">
        <v>121</v>
      </c>
      <c r="C2153" s="323" t="s">
        <v>238</v>
      </c>
      <c r="D2153" s="392" t="s">
        <v>2274</v>
      </c>
      <c r="E2153" s="387">
        <v>215310</v>
      </c>
      <c r="F2153" s="594" t="s">
        <v>4959</v>
      </c>
      <c r="G2153" s="578">
        <v>40.090000000000003</v>
      </c>
      <c r="H2153" s="597">
        <v>3807596</v>
      </c>
      <c r="I2153" s="597"/>
      <c r="J2153" s="323" t="s">
        <v>4953</v>
      </c>
    </row>
    <row r="2154" spans="1:10" x14ac:dyDescent="0.25">
      <c r="A2154" s="321" t="s">
        <v>4906</v>
      </c>
      <c r="B2154" s="323" t="s">
        <v>121</v>
      </c>
      <c r="C2154" s="323" t="s">
        <v>238</v>
      </c>
      <c r="D2154" s="392" t="s">
        <v>2296</v>
      </c>
      <c r="E2154" s="387">
        <v>350452</v>
      </c>
      <c r="F2154" s="594" t="s">
        <v>5085</v>
      </c>
      <c r="G2154" s="578">
        <v>105.46</v>
      </c>
      <c r="H2154" s="597">
        <v>3807635</v>
      </c>
      <c r="I2154" s="597"/>
      <c r="J2154" s="323" t="s">
        <v>5080</v>
      </c>
    </row>
    <row r="2155" spans="1:10" x14ac:dyDescent="0.25">
      <c r="A2155" s="321" t="s">
        <v>4906</v>
      </c>
      <c r="B2155" s="323" t="s">
        <v>121</v>
      </c>
      <c r="C2155" s="323" t="s">
        <v>238</v>
      </c>
      <c r="D2155" s="392" t="s">
        <v>106</v>
      </c>
      <c r="E2155" s="387">
        <v>350557</v>
      </c>
      <c r="F2155" s="594" t="s">
        <v>4946</v>
      </c>
      <c r="G2155" s="578">
        <v>37.85</v>
      </c>
      <c r="H2155" s="597">
        <v>3807687</v>
      </c>
      <c r="I2155" s="597"/>
      <c r="J2155" s="323" t="s">
        <v>4942</v>
      </c>
    </row>
    <row r="2156" spans="1:10" x14ac:dyDescent="0.25">
      <c r="A2156" s="321" t="s">
        <v>4906</v>
      </c>
      <c r="B2156" s="323" t="s">
        <v>121</v>
      </c>
      <c r="C2156" s="323" t="s">
        <v>238</v>
      </c>
      <c r="D2156" s="392" t="s">
        <v>2235</v>
      </c>
      <c r="E2156" s="387">
        <v>218656</v>
      </c>
      <c r="F2156" s="594" t="s">
        <v>5022</v>
      </c>
      <c r="G2156" s="578">
        <v>63.46</v>
      </c>
      <c r="H2156" s="597">
        <v>3807690</v>
      </c>
      <c r="I2156" s="597"/>
      <c r="J2156" s="323" t="s">
        <v>5016</v>
      </c>
    </row>
    <row r="2157" spans="1:10" x14ac:dyDescent="0.25">
      <c r="A2157" s="321" t="s">
        <v>4906</v>
      </c>
      <c r="B2157" s="323" t="s">
        <v>121</v>
      </c>
      <c r="C2157" s="323" t="s">
        <v>238</v>
      </c>
      <c r="D2157" s="392" t="s">
        <v>4905</v>
      </c>
      <c r="E2157" s="387">
        <v>354262</v>
      </c>
      <c r="F2157" s="594" t="s">
        <v>4915</v>
      </c>
      <c r="G2157" s="578">
        <v>24.35</v>
      </c>
      <c r="H2157" s="597">
        <v>3807756</v>
      </c>
      <c r="I2157" s="597"/>
      <c r="J2157" s="323" t="s">
        <v>4903</v>
      </c>
    </row>
    <row r="2158" spans="1:10" x14ac:dyDescent="0.25">
      <c r="A2158" s="321" t="s">
        <v>4906</v>
      </c>
      <c r="B2158" s="323" t="s">
        <v>121</v>
      </c>
      <c r="C2158" s="323" t="s">
        <v>238</v>
      </c>
      <c r="D2158" s="392" t="s">
        <v>4467</v>
      </c>
      <c r="E2158" s="387">
        <v>225590</v>
      </c>
      <c r="F2158" s="594" t="s">
        <v>5034</v>
      </c>
      <c r="G2158" s="578">
        <v>67.2</v>
      </c>
      <c r="H2158" s="597">
        <v>3807826</v>
      </c>
      <c r="I2158" s="597"/>
      <c r="J2158" s="323" t="s">
        <v>5028</v>
      </c>
    </row>
    <row r="2159" spans="1:10" x14ac:dyDescent="0.25">
      <c r="A2159" s="321" t="s">
        <v>4906</v>
      </c>
      <c r="B2159" s="323" t="s">
        <v>121</v>
      </c>
      <c r="C2159" s="323" t="s">
        <v>238</v>
      </c>
      <c r="D2159" s="392" t="s">
        <v>4926</v>
      </c>
      <c r="E2159" s="387">
        <v>509</v>
      </c>
      <c r="F2159" s="594" t="s">
        <v>4932</v>
      </c>
      <c r="G2159" s="578">
        <v>30.65</v>
      </c>
      <c r="H2159" s="597">
        <v>3807900</v>
      </c>
      <c r="I2159" s="597"/>
      <c r="J2159" s="323" t="s">
        <v>4919</v>
      </c>
    </row>
    <row r="2160" spans="1:10" x14ac:dyDescent="0.25">
      <c r="A2160" s="321" t="s">
        <v>4906</v>
      </c>
      <c r="B2160" s="323" t="s">
        <v>121</v>
      </c>
      <c r="C2160" s="323" t="s">
        <v>238</v>
      </c>
      <c r="D2160" s="392" t="s">
        <v>2145</v>
      </c>
      <c r="E2160" s="387">
        <v>351694</v>
      </c>
      <c r="F2160" s="594" t="s">
        <v>4970</v>
      </c>
      <c r="G2160" s="578">
        <v>43.95</v>
      </c>
      <c r="H2160" s="597">
        <v>3808041</v>
      </c>
      <c r="I2160" s="597"/>
      <c r="J2160" s="323" t="s">
        <v>4964</v>
      </c>
    </row>
    <row r="2161" spans="1:10" x14ac:dyDescent="0.25">
      <c r="A2161" s="321" t="s">
        <v>4906</v>
      </c>
      <c r="B2161" s="323" t="s">
        <v>121</v>
      </c>
      <c r="C2161" s="323" t="s">
        <v>238</v>
      </c>
      <c r="D2161" s="392" t="s">
        <v>4948</v>
      </c>
      <c r="E2161" s="387">
        <v>351939</v>
      </c>
      <c r="F2161" s="594" t="s">
        <v>4958</v>
      </c>
      <c r="G2161" s="578">
        <v>39.29</v>
      </c>
      <c r="H2161" s="597">
        <v>3808066</v>
      </c>
      <c r="I2161" s="597"/>
      <c r="J2161" s="323" t="s">
        <v>4952</v>
      </c>
    </row>
    <row r="2162" spans="1:10" x14ac:dyDescent="0.25">
      <c r="A2162" s="321" t="s">
        <v>4906</v>
      </c>
      <c r="B2162" s="323" t="s">
        <v>121</v>
      </c>
      <c r="C2162" s="323" t="s">
        <v>238</v>
      </c>
      <c r="D2162" s="392" t="s">
        <v>3607</v>
      </c>
      <c r="E2162" s="387">
        <v>226537</v>
      </c>
      <c r="F2162" s="594" t="s">
        <v>5056</v>
      </c>
      <c r="G2162" s="578">
        <v>81.05</v>
      </c>
      <c r="H2162" s="597">
        <v>3808068</v>
      </c>
      <c r="I2162" s="597"/>
      <c r="J2162" s="323" t="s">
        <v>5052</v>
      </c>
    </row>
    <row r="2163" spans="1:10" x14ac:dyDescent="0.25">
      <c r="A2163" s="321" t="s">
        <v>4906</v>
      </c>
      <c r="B2163" s="323" t="s">
        <v>121</v>
      </c>
      <c r="C2163" s="323" t="s">
        <v>238</v>
      </c>
      <c r="D2163" s="392" t="s">
        <v>1450</v>
      </c>
      <c r="E2163" s="387">
        <v>350952</v>
      </c>
      <c r="F2163" s="594" t="s">
        <v>5068</v>
      </c>
      <c r="G2163" s="578">
        <v>88.95</v>
      </c>
      <c r="H2163" s="597">
        <v>3808206</v>
      </c>
      <c r="I2163" s="597"/>
      <c r="J2163" s="323" t="s">
        <v>5061</v>
      </c>
    </row>
    <row r="2164" spans="1:10" x14ac:dyDescent="0.25">
      <c r="A2164" s="321" t="s">
        <v>4906</v>
      </c>
      <c r="B2164" s="323" t="s">
        <v>121</v>
      </c>
      <c r="C2164" s="323" t="s">
        <v>238</v>
      </c>
      <c r="D2164" s="392" t="s">
        <v>384</v>
      </c>
      <c r="E2164" s="387">
        <v>350039</v>
      </c>
      <c r="F2164" s="594" t="s">
        <v>5047</v>
      </c>
      <c r="G2164" s="578">
        <v>70.97</v>
      </c>
      <c r="H2164" s="597">
        <v>3808292</v>
      </c>
      <c r="I2164" s="597"/>
      <c r="J2164" s="323" t="s">
        <v>5044</v>
      </c>
    </row>
    <row r="2165" spans="1:10" x14ac:dyDescent="0.25">
      <c r="A2165" s="321" t="s">
        <v>4906</v>
      </c>
      <c r="B2165" s="323" t="s">
        <v>121</v>
      </c>
      <c r="C2165" s="323" t="s">
        <v>238</v>
      </c>
      <c r="D2165" s="392" t="s">
        <v>2794</v>
      </c>
      <c r="E2165" s="387">
        <v>351250</v>
      </c>
      <c r="F2165" s="594" t="s">
        <v>5019</v>
      </c>
      <c r="G2165" s="578">
        <v>58.9</v>
      </c>
      <c r="H2165" s="597">
        <v>3808299</v>
      </c>
      <c r="I2165" s="597"/>
      <c r="J2165" s="323" t="s">
        <v>5013</v>
      </c>
    </row>
    <row r="2166" spans="1:10" x14ac:dyDescent="0.25">
      <c r="A2166" s="321" t="s">
        <v>4906</v>
      </c>
      <c r="B2166" s="323" t="s">
        <v>121</v>
      </c>
      <c r="C2166" s="323" t="s">
        <v>238</v>
      </c>
      <c r="D2166" s="392" t="s">
        <v>4335</v>
      </c>
      <c r="E2166" s="387">
        <v>288</v>
      </c>
      <c r="F2166" s="594" t="s">
        <v>4980</v>
      </c>
      <c r="G2166" s="578">
        <v>46.9</v>
      </c>
      <c r="H2166" s="597">
        <v>3808363</v>
      </c>
      <c r="I2166" s="597"/>
      <c r="J2166" s="323" t="s">
        <v>4975</v>
      </c>
    </row>
    <row r="2167" spans="1:10" x14ac:dyDescent="0.25">
      <c r="A2167" s="321" t="s">
        <v>4906</v>
      </c>
      <c r="B2167" s="323" t="s">
        <v>121</v>
      </c>
      <c r="C2167" s="323" t="s">
        <v>238</v>
      </c>
      <c r="D2167" s="392" t="s">
        <v>4991</v>
      </c>
      <c r="E2167" s="387">
        <v>351091</v>
      </c>
      <c r="F2167" s="594" t="s">
        <v>5001</v>
      </c>
      <c r="G2167" s="578">
        <v>50.9</v>
      </c>
      <c r="H2167" s="597">
        <v>3808396</v>
      </c>
      <c r="I2167" s="597"/>
      <c r="J2167" s="323" t="s">
        <v>4992</v>
      </c>
    </row>
    <row r="2168" spans="1:10" x14ac:dyDescent="0.25">
      <c r="A2168" s="321" t="s">
        <v>4906</v>
      </c>
      <c r="B2168" s="323" t="s">
        <v>121</v>
      </c>
      <c r="C2168" s="323" t="s">
        <v>238</v>
      </c>
      <c r="D2168" s="392" t="s">
        <v>1019</v>
      </c>
      <c r="E2168" s="387">
        <v>220059</v>
      </c>
      <c r="F2168" s="594" t="s">
        <v>5072</v>
      </c>
      <c r="G2168" s="578">
        <v>92.81</v>
      </c>
      <c r="H2168" s="597">
        <v>3808533</v>
      </c>
      <c r="I2168" s="597"/>
      <c r="J2168" s="323" t="s">
        <v>5065</v>
      </c>
    </row>
    <row r="2169" spans="1:10" x14ac:dyDescent="0.25">
      <c r="A2169" s="321" t="s">
        <v>4906</v>
      </c>
      <c r="B2169" s="323" t="s">
        <v>121</v>
      </c>
      <c r="C2169" s="323" t="s">
        <v>238</v>
      </c>
      <c r="D2169" s="392" t="s">
        <v>1989</v>
      </c>
      <c r="E2169" s="387">
        <v>353346</v>
      </c>
      <c r="F2169" s="594" t="s">
        <v>5094</v>
      </c>
      <c r="G2169" s="578">
        <v>53.01</v>
      </c>
      <c r="H2169" s="597">
        <v>3808585</v>
      </c>
      <c r="I2169" s="597"/>
      <c r="J2169" s="323" t="s">
        <v>5093</v>
      </c>
    </row>
    <row r="2170" spans="1:10" x14ac:dyDescent="0.25">
      <c r="A2170" s="321" t="s">
        <v>4906</v>
      </c>
      <c r="B2170" s="323" t="s">
        <v>121</v>
      </c>
      <c r="C2170" s="323" t="s">
        <v>238</v>
      </c>
      <c r="D2170" s="392" t="s">
        <v>5106</v>
      </c>
      <c r="E2170" s="387">
        <v>1145</v>
      </c>
      <c r="F2170" s="594" t="s">
        <v>5112</v>
      </c>
      <c r="G2170" s="578">
        <v>220.01</v>
      </c>
      <c r="H2170" s="597">
        <v>3808770</v>
      </c>
      <c r="I2170" s="597"/>
      <c r="J2170" s="323" t="s">
        <v>5102</v>
      </c>
    </row>
    <row r="2171" spans="1:10" x14ac:dyDescent="0.25">
      <c r="A2171" s="321" t="s">
        <v>4906</v>
      </c>
      <c r="B2171" s="323" t="s">
        <v>121</v>
      </c>
      <c r="C2171" s="323" t="s">
        <v>238</v>
      </c>
      <c r="D2171" s="392" t="s">
        <v>5039</v>
      </c>
      <c r="E2171" s="387">
        <v>226284</v>
      </c>
      <c r="F2171" s="594" t="s">
        <v>5041</v>
      </c>
      <c r="G2171" s="578">
        <v>68.53</v>
      </c>
      <c r="H2171" s="597">
        <v>3808997</v>
      </c>
      <c r="I2171" s="597"/>
      <c r="J2171" s="323" t="s">
        <v>5037</v>
      </c>
    </row>
    <row r="2172" spans="1:10" x14ac:dyDescent="0.25">
      <c r="A2172" s="321" t="s">
        <v>4906</v>
      </c>
      <c r="B2172" s="323" t="s">
        <v>121</v>
      </c>
      <c r="C2172" s="323" t="s">
        <v>238</v>
      </c>
      <c r="D2172" s="392" t="s">
        <v>2320</v>
      </c>
      <c r="E2172" s="387">
        <v>351288</v>
      </c>
      <c r="F2172" s="594" t="s">
        <v>5115</v>
      </c>
      <c r="G2172" s="578">
        <f>53.78</f>
        <v>53.78</v>
      </c>
      <c r="H2172" s="597">
        <v>3809046</v>
      </c>
      <c r="I2172" s="597"/>
      <c r="J2172" s="323" t="s">
        <v>5100</v>
      </c>
    </row>
    <row r="2173" spans="1:10" x14ac:dyDescent="0.25">
      <c r="A2173" s="321" t="s">
        <v>4906</v>
      </c>
      <c r="B2173" s="323" t="s">
        <v>121</v>
      </c>
      <c r="C2173" s="323" t="s">
        <v>238</v>
      </c>
      <c r="D2173" s="392" t="s">
        <v>4471</v>
      </c>
      <c r="E2173" s="387">
        <v>352912</v>
      </c>
      <c r="F2173" s="594" t="s">
        <v>5040</v>
      </c>
      <c r="G2173" s="578">
        <v>67.95</v>
      </c>
      <c r="H2173" s="597">
        <v>3809116</v>
      </c>
      <c r="I2173" s="597"/>
      <c r="J2173" s="323" t="s">
        <v>5035</v>
      </c>
    </row>
    <row r="2174" spans="1:10" x14ac:dyDescent="0.25">
      <c r="A2174" s="321" t="s">
        <v>4906</v>
      </c>
      <c r="B2174" s="323" t="s">
        <v>121</v>
      </c>
      <c r="C2174" s="323" t="s">
        <v>238</v>
      </c>
      <c r="D2174" s="392" t="s">
        <v>2459</v>
      </c>
      <c r="E2174" s="387">
        <v>351845</v>
      </c>
      <c r="F2174" s="594" t="s">
        <v>4986</v>
      </c>
      <c r="G2174" s="578">
        <v>47.9</v>
      </c>
      <c r="H2174" s="597">
        <v>3809120</v>
      </c>
      <c r="I2174" s="597"/>
      <c r="J2174" s="323" t="s">
        <v>4984</v>
      </c>
    </row>
    <row r="2175" spans="1:10" x14ac:dyDescent="0.25">
      <c r="A2175" s="321" t="s">
        <v>4906</v>
      </c>
      <c r="B2175" s="323" t="s">
        <v>121</v>
      </c>
      <c r="C2175" s="323" t="s">
        <v>238</v>
      </c>
      <c r="D2175" s="392" t="s">
        <v>2584</v>
      </c>
      <c r="E2175" s="387">
        <v>218515</v>
      </c>
      <c r="F2175" s="594" t="s">
        <v>5021</v>
      </c>
      <c r="G2175" s="578">
        <v>62.9</v>
      </c>
      <c r="H2175" s="597">
        <v>3809493</v>
      </c>
      <c r="I2175" s="597"/>
      <c r="J2175" s="323" t="s">
        <v>5015</v>
      </c>
    </row>
    <row r="2176" spans="1:10" x14ac:dyDescent="0.25">
      <c r="A2176" s="321" t="s">
        <v>4906</v>
      </c>
      <c r="B2176" s="323" t="s">
        <v>121</v>
      </c>
      <c r="C2176" s="323" t="s">
        <v>238</v>
      </c>
      <c r="D2176" s="392" t="s">
        <v>4928</v>
      </c>
      <c r="E2176" s="387">
        <v>352821</v>
      </c>
      <c r="F2176" s="594" t="s">
        <v>4936</v>
      </c>
      <c r="G2176" s="578">
        <v>33.950000000000003</v>
      </c>
      <c r="H2176" s="597">
        <v>3810414</v>
      </c>
      <c r="I2176" s="597"/>
      <c r="J2176" s="323" t="s">
        <v>4923</v>
      </c>
    </row>
    <row r="2177" spans="1:10" x14ac:dyDescent="0.25">
      <c r="A2177" s="321" t="s">
        <v>4906</v>
      </c>
      <c r="B2177" s="323" t="s">
        <v>121</v>
      </c>
      <c r="C2177" s="323" t="s">
        <v>238</v>
      </c>
      <c r="D2177" s="392" t="s">
        <v>5009</v>
      </c>
      <c r="E2177" s="387">
        <v>351383</v>
      </c>
      <c r="F2177" s="594" t="s">
        <v>5020</v>
      </c>
      <c r="G2177" s="578">
        <v>61.95</v>
      </c>
      <c r="H2177" s="597">
        <v>3819127</v>
      </c>
      <c r="I2177" s="597"/>
      <c r="J2177" s="323" t="s">
        <v>5014</v>
      </c>
    </row>
    <row r="2178" spans="1:10" x14ac:dyDescent="0.25">
      <c r="A2178" s="321" t="s">
        <v>4906</v>
      </c>
      <c r="B2178" s="323" t="s">
        <v>121</v>
      </c>
      <c r="C2178" s="323" t="s">
        <v>238</v>
      </c>
      <c r="D2178" s="392" t="s">
        <v>2050</v>
      </c>
      <c r="E2178" s="387">
        <v>352777</v>
      </c>
      <c r="F2178" s="594"/>
      <c r="G2178" s="578">
        <v>40.590000000000003</v>
      </c>
      <c r="H2178" s="597"/>
      <c r="I2178" s="597"/>
      <c r="J2178" s="323" t="s">
        <v>2374</v>
      </c>
    </row>
    <row r="2179" spans="1:10" x14ac:dyDescent="0.25">
      <c r="A2179" s="321" t="s">
        <v>4906</v>
      </c>
      <c r="B2179" s="323" t="s">
        <v>121</v>
      </c>
      <c r="C2179" s="323" t="s">
        <v>238</v>
      </c>
      <c r="D2179" s="392" t="s">
        <v>2536</v>
      </c>
      <c r="E2179" s="387">
        <v>353603</v>
      </c>
      <c r="F2179" s="597"/>
      <c r="G2179" s="578">
        <v>52.8</v>
      </c>
      <c r="H2179" s="597"/>
      <c r="I2179" s="597"/>
      <c r="J2179" s="323" t="s">
        <v>2374</v>
      </c>
    </row>
    <row r="2180" spans="1:10" x14ac:dyDescent="0.25">
      <c r="A2180" s="321" t="s">
        <v>4906</v>
      </c>
      <c r="B2180" s="323" t="s">
        <v>121</v>
      </c>
      <c r="C2180" s="323" t="s">
        <v>238</v>
      </c>
      <c r="D2180" s="392" t="s">
        <v>5125</v>
      </c>
      <c r="E2180" s="387">
        <v>353603</v>
      </c>
      <c r="F2180" s="597"/>
      <c r="G2180" s="578">
        <v>92.9</v>
      </c>
      <c r="H2180" s="597"/>
      <c r="I2180" s="597"/>
      <c r="J2180" s="323" t="s">
        <v>2374</v>
      </c>
    </row>
    <row r="2181" spans="1:10" x14ac:dyDescent="0.25">
      <c r="A2181" s="321" t="s">
        <v>4906</v>
      </c>
      <c r="B2181" s="323" t="s">
        <v>121</v>
      </c>
      <c r="C2181" s="323" t="s">
        <v>238</v>
      </c>
      <c r="D2181" s="392" t="s">
        <v>4670</v>
      </c>
      <c r="E2181" s="387">
        <v>353870</v>
      </c>
      <c r="F2181" s="597"/>
      <c r="G2181" s="578">
        <v>117.95</v>
      </c>
      <c r="H2181" s="597"/>
      <c r="I2181" s="597"/>
      <c r="J2181" s="323" t="s">
        <v>2374</v>
      </c>
    </row>
    <row r="2182" spans="1:10" x14ac:dyDescent="0.25">
      <c r="A2182" s="321" t="s">
        <v>4906</v>
      </c>
      <c r="B2182" s="323" t="s">
        <v>121</v>
      </c>
      <c r="C2182" s="323" t="s">
        <v>238</v>
      </c>
      <c r="D2182" s="392" t="s">
        <v>5126</v>
      </c>
      <c r="E2182" s="387">
        <v>352834</v>
      </c>
      <c r="F2182" s="597"/>
      <c r="G2182" s="578">
        <v>125.68</v>
      </c>
      <c r="H2182" s="597"/>
      <c r="I2182" s="597"/>
      <c r="J2182" s="323" t="s">
        <v>2374</v>
      </c>
    </row>
    <row r="2183" spans="1:10" x14ac:dyDescent="0.25">
      <c r="A2183" s="321" t="s">
        <v>4906</v>
      </c>
      <c r="B2183" s="323" t="s">
        <v>121</v>
      </c>
      <c r="C2183" s="323" t="s">
        <v>238</v>
      </c>
      <c r="D2183" s="392" t="s">
        <v>4663</v>
      </c>
      <c r="E2183" s="387">
        <v>354249</v>
      </c>
      <c r="F2183" s="597"/>
      <c r="G2183" s="578">
        <v>125.82</v>
      </c>
      <c r="H2183" s="597"/>
      <c r="I2183" s="597"/>
      <c r="J2183" s="323" t="s">
        <v>2374</v>
      </c>
    </row>
    <row r="2184" spans="1:10" x14ac:dyDescent="0.25">
      <c r="A2184" s="321" t="s">
        <v>4906</v>
      </c>
      <c r="B2184" s="323" t="s">
        <v>121</v>
      </c>
      <c r="C2184" s="323" t="s">
        <v>2689</v>
      </c>
      <c r="D2184" s="392" t="s">
        <v>2396</v>
      </c>
      <c r="E2184" s="387">
        <v>350457</v>
      </c>
      <c r="F2184" s="594" t="s">
        <v>5071</v>
      </c>
      <c r="G2184" s="578">
        <v>90.95</v>
      </c>
      <c r="H2184" s="597">
        <v>3809483</v>
      </c>
      <c r="I2184" s="597"/>
      <c r="J2184" s="323" t="s">
        <v>5064</v>
      </c>
    </row>
    <row r="2185" spans="1:10" x14ac:dyDescent="0.25">
      <c r="A2185" s="321" t="s">
        <v>4906</v>
      </c>
      <c r="B2185" s="323" t="s">
        <v>121</v>
      </c>
      <c r="C2185" s="323" t="s">
        <v>2689</v>
      </c>
      <c r="D2185" s="392" t="s">
        <v>1379</v>
      </c>
      <c r="E2185" s="387">
        <v>217835</v>
      </c>
      <c r="F2185" s="594" t="s">
        <v>5078</v>
      </c>
      <c r="G2185" s="578">
        <v>96.16</v>
      </c>
      <c r="H2185" s="597">
        <v>47553396</v>
      </c>
      <c r="I2185" s="597"/>
      <c r="J2185" s="323" t="s">
        <v>5131</v>
      </c>
    </row>
    <row r="2186" spans="1:10" x14ac:dyDescent="0.25">
      <c r="A2186" s="321" t="s">
        <v>4906</v>
      </c>
      <c r="B2186" s="323" t="s">
        <v>121</v>
      </c>
      <c r="D2186" s="392" t="s">
        <v>4082</v>
      </c>
      <c r="E2186" s="387">
        <v>222476</v>
      </c>
      <c r="F2186" s="594" t="s">
        <v>5074</v>
      </c>
      <c r="G2186" s="578">
        <v>27.6</v>
      </c>
      <c r="H2186" s="597">
        <v>3645360</v>
      </c>
      <c r="I2186" s="597"/>
      <c r="J2186" s="323" t="s">
        <v>5060</v>
      </c>
    </row>
    <row r="2187" spans="1:10" x14ac:dyDescent="0.25">
      <c r="A2187" s="321" t="s">
        <v>4906</v>
      </c>
      <c r="B2187" s="323" t="s">
        <v>121</v>
      </c>
      <c r="D2187" s="392" t="s">
        <v>4082</v>
      </c>
      <c r="E2187" s="387">
        <v>222476</v>
      </c>
      <c r="F2187" s="594" t="s">
        <v>5067</v>
      </c>
      <c r="G2187" s="578">
        <f>59.7</f>
        <v>59.7</v>
      </c>
      <c r="H2187" s="597">
        <v>3646789</v>
      </c>
      <c r="I2187" s="597"/>
      <c r="J2187" s="323" t="s">
        <v>5060</v>
      </c>
    </row>
    <row r="2188" spans="1:10" x14ac:dyDescent="0.25">
      <c r="A2188" s="321" t="s">
        <v>4906</v>
      </c>
      <c r="B2188" s="323" t="s">
        <v>121</v>
      </c>
      <c r="D2188" s="392" t="s">
        <v>195</v>
      </c>
      <c r="E2188" s="387">
        <v>352746</v>
      </c>
      <c r="F2188" s="594" t="s">
        <v>4913</v>
      </c>
      <c r="G2188" s="578">
        <v>28.26</v>
      </c>
      <c r="H2188" s="597">
        <v>3801392</v>
      </c>
      <c r="I2188" s="597"/>
      <c r="J2188" s="323" t="s">
        <v>4909</v>
      </c>
    </row>
    <row r="2189" spans="1:10" x14ac:dyDescent="0.25">
      <c r="A2189" s="321" t="s">
        <v>4906</v>
      </c>
      <c r="B2189" s="323" t="s">
        <v>121</v>
      </c>
      <c r="D2189" s="392" t="s">
        <v>1270</v>
      </c>
      <c r="E2189" s="387">
        <v>216262</v>
      </c>
      <c r="F2189" s="594" t="s">
        <v>4931</v>
      </c>
      <c r="G2189" s="578">
        <v>30.65</v>
      </c>
      <c r="H2189" s="597">
        <v>46229257</v>
      </c>
      <c r="I2189" s="597"/>
      <c r="J2189" s="323" t="s">
        <v>4918</v>
      </c>
    </row>
    <row r="2190" spans="1:10" x14ac:dyDescent="0.25">
      <c r="A2190" s="321">
        <v>43024</v>
      </c>
      <c r="B2190" s="323" t="s">
        <v>127</v>
      </c>
      <c r="D2190" s="392" t="s">
        <v>4874</v>
      </c>
      <c r="E2190" s="387">
        <v>354567</v>
      </c>
      <c r="F2190" s="594"/>
      <c r="G2190" s="578">
        <f>15.43+46.09</f>
        <v>61.52</v>
      </c>
      <c r="H2190" s="597">
        <v>3791970</v>
      </c>
      <c r="I2190" s="597"/>
      <c r="J2190" s="323" t="s">
        <v>179</v>
      </c>
    </row>
    <row r="2191" spans="1:10" x14ac:dyDescent="0.25">
      <c r="A2191" s="321">
        <v>43024</v>
      </c>
      <c r="B2191" s="323" t="s">
        <v>127</v>
      </c>
      <c r="D2191" s="392" t="s">
        <v>4874</v>
      </c>
      <c r="E2191" s="387">
        <v>354567</v>
      </c>
      <c r="F2191" s="594"/>
      <c r="G2191" s="578">
        <f>17.56+53.91</f>
        <v>71.47</v>
      </c>
      <c r="H2191" s="597">
        <v>3791979</v>
      </c>
      <c r="I2191" s="597"/>
      <c r="J2191" s="323" t="s">
        <v>179</v>
      </c>
    </row>
    <row r="2192" spans="1:10" x14ac:dyDescent="0.25">
      <c r="A2192" s="321">
        <v>43026</v>
      </c>
      <c r="B2192" s="323" t="s">
        <v>127</v>
      </c>
      <c r="D2192" s="392" t="s">
        <v>4874</v>
      </c>
      <c r="E2192" s="387">
        <v>354567</v>
      </c>
      <c r="F2192" s="594"/>
      <c r="G2192" s="578">
        <f>48.09+186.11</f>
        <v>234.20000000000002</v>
      </c>
      <c r="H2192" s="597">
        <v>3792057</v>
      </c>
      <c r="I2192" s="597"/>
      <c r="J2192" s="323" t="s">
        <v>179</v>
      </c>
    </row>
    <row r="2193" spans="1:10" x14ac:dyDescent="0.25">
      <c r="A2193" s="321">
        <v>43026</v>
      </c>
      <c r="B2193" s="323" t="s">
        <v>127</v>
      </c>
      <c r="D2193" s="392" t="s">
        <v>4874</v>
      </c>
      <c r="E2193" s="387">
        <v>354567</v>
      </c>
      <c r="F2193" s="594"/>
      <c r="G2193" s="578">
        <f>3.63+19.82</f>
        <v>23.45</v>
      </c>
      <c r="H2193" s="597">
        <v>3798197</v>
      </c>
      <c r="I2193" s="597"/>
      <c r="J2193" s="323" t="s">
        <v>179</v>
      </c>
    </row>
    <row r="2194" spans="1:10" x14ac:dyDescent="0.25">
      <c r="A2194" s="321">
        <v>43027</v>
      </c>
      <c r="B2194" s="323" t="s">
        <v>127</v>
      </c>
      <c r="D2194" s="392" t="s">
        <v>4874</v>
      </c>
      <c r="E2194" s="387">
        <v>354567</v>
      </c>
      <c r="F2194" s="594"/>
      <c r="G2194" s="578">
        <f>12.85+71.69</f>
        <v>84.539999999999992</v>
      </c>
      <c r="H2194" s="597">
        <v>3810612</v>
      </c>
      <c r="I2194" s="597"/>
      <c r="J2194" s="323" t="s">
        <v>179</v>
      </c>
    </row>
    <row r="2195" spans="1:10" x14ac:dyDescent="0.25">
      <c r="A2195" s="321">
        <v>43025</v>
      </c>
      <c r="B2195" s="323" t="s">
        <v>127</v>
      </c>
      <c r="D2195" s="392" t="s">
        <v>4664</v>
      </c>
      <c r="E2195" s="387">
        <v>350197</v>
      </c>
      <c r="F2195" s="594"/>
      <c r="G2195" s="578">
        <f>6.21+41.44</f>
        <v>47.65</v>
      </c>
      <c r="H2195" s="597">
        <v>3796016</v>
      </c>
      <c r="I2195" s="597"/>
      <c r="J2195" s="323" t="s">
        <v>5127</v>
      </c>
    </row>
    <row r="2196" spans="1:10" x14ac:dyDescent="0.25">
      <c r="A2196" s="321">
        <v>43027</v>
      </c>
      <c r="B2196" s="323" t="s">
        <v>127</v>
      </c>
      <c r="D2196" s="392" t="s">
        <v>4664</v>
      </c>
      <c r="E2196" s="387">
        <v>350197</v>
      </c>
      <c r="F2196" s="594"/>
      <c r="G2196" s="578">
        <f>6.61+41.1</f>
        <v>47.71</v>
      </c>
      <c r="H2196" s="597">
        <v>3787666</v>
      </c>
      <c r="I2196" s="597"/>
      <c r="J2196" s="323" t="s">
        <v>5127</v>
      </c>
    </row>
    <row r="2197" spans="1:10" x14ac:dyDescent="0.25">
      <c r="A2197" s="321">
        <v>43027</v>
      </c>
      <c r="B2197" s="323" t="s">
        <v>127</v>
      </c>
      <c r="D2197" s="392" t="s">
        <v>4664</v>
      </c>
      <c r="E2197" s="387">
        <v>350197</v>
      </c>
      <c r="F2197" s="594"/>
      <c r="G2197" s="578">
        <f>5.68+33.92</f>
        <v>39.6</v>
      </c>
      <c r="H2197" s="597">
        <v>3811613</v>
      </c>
      <c r="I2197" s="597"/>
      <c r="J2197" s="323" t="s">
        <v>5127</v>
      </c>
    </row>
    <row r="2198" spans="1:10" x14ac:dyDescent="0.25">
      <c r="A2198" s="321">
        <v>43028</v>
      </c>
      <c r="B2198" s="323" t="s">
        <v>127</v>
      </c>
      <c r="D2198" s="392" t="s">
        <v>5128</v>
      </c>
      <c r="E2198" s="387">
        <v>214782</v>
      </c>
      <c r="F2198" s="594"/>
      <c r="G2198" s="578">
        <f>9.84+84.88</f>
        <v>94.72</v>
      </c>
      <c r="H2198" s="597">
        <v>3816162</v>
      </c>
      <c r="I2198" s="597"/>
      <c r="J2198" s="323" t="s">
        <v>179</v>
      </c>
    </row>
    <row r="2199" spans="1:10" x14ac:dyDescent="0.25">
      <c r="A2199" s="321" t="s">
        <v>5129</v>
      </c>
      <c r="B2199" s="323" t="s">
        <v>121</v>
      </c>
      <c r="C2199" s="323" t="s">
        <v>2688</v>
      </c>
      <c r="D2199" s="392" t="s">
        <v>1379</v>
      </c>
      <c r="E2199" s="387">
        <v>217835</v>
      </c>
      <c r="F2199" s="594" t="s">
        <v>5078</v>
      </c>
      <c r="G2199" s="578">
        <v>-96.16</v>
      </c>
      <c r="H2199" s="597">
        <v>47553396</v>
      </c>
      <c r="I2199" s="597"/>
      <c r="J2199" s="323" t="s">
        <v>5130</v>
      </c>
    </row>
    <row r="2200" spans="1:10" x14ac:dyDescent="0.25">
      <c r="A2200" s="321" t="s">
        <v>5129</v>
      </c>
      <c r="B2200" s="323" t="s">
        <v>121</v>
      </c>
      <c r="C2200" s="323" t="s">
        <v>5154</v>
      </c>
      <c r="D2200" s="392" t="s">
        <v>4463</v>
      </c>
      <c r="E2200" s="387">
        <v>351548</v>
      </c>
      <c r="F2200" s="594">
        <v>41965800</v>
      </c>
      <c r="G2200" s="578">
        <v>34.25</v>
      </c>
      <c r="H2200" s="597">
        <v>41965800</v>
      </c>
      <c r="I2200" s="597"/>
      <c r="J2200" s="323" t="s">
        <v>5132</v>
      </c>
    </row>
    <row r="2201" spans="1:10" x14ac:dyDescent="0.25">
      <c r="A2201" s="321" t="s">
        <v>5129</v>
      </c>
      <c r="B2201" s="323" t="s">
        <v>121</v>
      </c>
      <c r="C2201" s="323" t="s">
        <v>238</v>
      </c>
      <c r="D2201" s="392" t="s">
        <v>1345</v>
      </c>
      <c r="E2201" s="387">
        <v>222176</v>
      </c>
      <c r="F2201" s="594" t="s">
        <v>5134</v>
      </c>
      <c r="G2201" s="578">
        <v>36.090000000000003</v>
      </c>
      <c r="H2201" s="597">
        <v>3837956</v>
      </c>
      <c r="I2201" s="597"/>
      <c r="J2201" s="323" t="s">
        <v>5133</v>
      </c>
    </row>
    <row r="2202" spans="1:10" x14ac:dyDescent="0.25">
      <c r="A2202" s="321" t="s">
        <v>5129</v>
      </c>
      <c r="B2202" s="323" t="s">
        <v>121</v>
      </c>
      <c r="C2202" s="323" t="s">
        <v>5154</v>
      </c>
      <c r="D2202" s="392" t="s">
        <v>212</v>
      </c>
      <c r="E2202" s="387">
        <v>350843</v>
      </c>
      <c r="F2202" s="594">
        <v>42254770</v>
      </c>
      <c r="G2202" s="578">
        <v>53.16</v>
      </c>
      <c r="H2202" s="597">
        <v>42254770</v>
      </c>
      <c r="I2202" s="597"/>
      <c r="J2202" s="323" t="s">
        <v>5135</v>
      </c>
    </row>
    <row r="2203" spans="1:10" x14ac:dyDescent="0.25">
      <c r="A2203" s="321" t="s">
        <v>5129</v>
      </c>
      <c r="B2203" s="323" t="s">
        <v>121</v>
      </c>
      <c r="C2203" s="323" t="s">
        <v>5154</v>
      </c>
      <c r="D2203" s="392" t="s">
        <v>5138</v>
      </c>
      <c r="E2203" s="387">
        <v>352647</v>
      </c>
      <c r="F2203" s="594" t="s">
        <v>5139</v>
      </c>
      <c r="G2203" s="578">
        <v>68.55</v>
      </c>
      <c r="H2203" s="597">
        <v>42281889</v>
      </c>
      <c r="I2203" s="597"/>
      <c r="J2203" s="323" t="s">
        <v>5136</v>
      </c>
    </row>
    <row r="2204" spans="1:10" x14ac:dyDescent="0.25">
      <c r="A2204" s="321" t="s">
        <v>5129</v>
      </c>
      <c r="B2204" s="323" t="s">
        <v>121</v>
      </c>
      <c r="C2204" s="323" t="s">
        <v>238</v>
      </c>
      <c r="D2204" s="392" t="s">
        <v>2275</v>
      </c>
      <c r="E2204" s="387">
        <v>351457</v>
      </c>
      <c r="F2204" s="597" t="s">
        <v>5140</v>
      </c>
      <c r="G2204" s="578">
        <v>69.95</v>
      </c>
      <c r="H2204" s="597">
        <v>3852255</v>
      </c>
      <c r="I2204" s="597"/>
      <c r="J2204" s="323" t="s">
        <v>5137</v>
      </c>
    </row>
    <row r="2205" spans="1:10" x14ac:dyDescent="0.25">
      <c r="A2205" s="321" t="s">
        <v>5129</v>
      </c>
      <c r="B2205" s="323" t="s">
        <v>121</v>
      </c>
      <c r="C2205" s="323" t="s">
        <v>238</v>
      </c>
      <c r="D2205" s="392" t="s">
        <v>5141</v>
      </c>
      <c r="E2205" s="387">
        <v>350525</v>
      </c>
      <c r="F2205" s="597" t="s">
        <v>5144</v>
      </c>
      <c r="G2205" s="578">
        <v>77.739999999999995</v>
      </c>
      <c r="H2205" s="597">
        <v>3819559</v>
      </c>
      <c r="I2205" s="597"/>
      <c r="J2205" s="323" t="s">
        <v>5142</v>
      </c>
    </row>
    <row r="2206" spans="1:10" x14ac:dyDescent="0.25">
      <c r="A2206" s="321" t="s">
        <v>5129</v>
      </c>
      <c r="B2206" s="323" t="s">
        <v>121</v>
      </c>
      <c r="C2206" s="323" t="s">
        <v>238</v>
      </c>
      <c r="D2206" s="392" t="s">
        <v>2486</v>
      </c>
      <c r="E2206" s="387">
        <v>352800</v>
      </c>
      <c r="F2206" s="594" t="s">
        <v>5145</v>
      </c>
      <c r="G2206" s="578">
        <v>80.95</v>
      </c>
      <c r="H2206" s="597">
        <v>3835577</v>
      </c>
      <c r="I2206" s="597"/>
      <c r="J2206" s="323" t="s">
        <v>5143</v>
      </c>
    </row>
    <row r="2207" spans="1:10" x14ac:dyDescent="0.25">
      <c r="A2207" s="321" t="s">
        <v>5129</v>
      </c>
      <c r="B2207" s="323" t="s">
        <v>121</v>
      </c>
      <c r="C2207" s="323" t="s">
        <v>238</v>
      </c>
      <c r="D2207" s="392" t="s">
        <v>300</v>
      </c>
      <c r="E2207" s="387">
        <v>351179</v>
      </c>
      <c r="F2207" s="594" t="s">
        <v>5148</v>
      </c>
      <c r="G2207" s="578">
        <v>98.73</v>
      </c>
      <c r="H2207" s="597">
        <v>3848065</v>
      </c>
      <c r="I2207" s="597"/>
      <c r="J2207" s="323" t="s">
        <v>5146</v>
      </c>
    </row>
    <row r="2208" spans="1:10" x14ac:dyDescent="0.25">
      <c r="A2208" s="321" t="s">
        <v>5129</v>
      </c>
      <c r="B2208" s="323" t="s">
        <v>121</v>
      </c>
      <c r="C2208" s="323" t="s">
        <v>238</v>
      </c>
      <c r="D2208" s="392" t="s">
        <v>3094</v>
      </c>
      <c r="E2208" s="387">
        <v>351716</v>
      </c>
      <c r="F2208" s="594" t="s">
        <v>5149</v>
      </c>
      <c r="G2208" s="578">
        <v>156.08000000000001</v>
      </c>
      <c r="H2208" s="597">
        <v>3852099</v>
      </c>
      <c r="I2208" s="597"/>
      <c r="J2208" s="323" t="s">
        <v>5147</v>
      </c>
    </row>
    <row r="2209" spans="1:10" x14ac:dyDescent="0.25">
      <c r="A2209" s="321" t="s">
        <v>5129</v>
      </c>
      <c r="B2209" s="323" t="s">
        <v>121</v>
      </c>
      <c r="C2209" s="323" t="s">
        <v>5154</v>
      </c>
      <c r="D2209" s="392" t="s">
        <v>5151</v>
      </c>
      <c r="E2209" s="387">
        <v>226278</v>
      </c>
      <c r="F2209" s="594">
        <v>42296014</v>
      </c>
      <c r="G2209" s="578">
        <v>166.9</v>
      </c>
      <c r="H2209" s="597">
        <v>42296014</v>
      </c>
      <c r="I2209" s="597"/>
      <c r="J2209" s="323" t="s">
        <v>5150</v>
      </c>
    </row>
    <row r="2210" spans="1:10" x14ac:dyDescent="0.25">
      <c r="A2210" s="321" t="s">
        <v>5129</v>
      </c>
      <c r="B2210" s="323" t="s">
        <v>121</v>
      </c>
      <c r="C2210" s="323" t="s">
        <v>5154</v>
      </c>
      <c r="D2210" s="392" t="s">
        <v>2320</v>
      </c>
      <c r="E2210" s="387">
        <v>351288</v>
      </c>
      <c r="F2210" s="594" t="s">
        <v>5153</v>
      </c>
      <c r="G2210" s="578">
        <v>65.08</v>
      </c>
      <c r="H2210" s="597" t="s">
        <v>5153</v>
      </c>
      <c r="I2210" s="597"/>
      <c r="J2210" s="323" t="s">
        <v>5152</v>
      </c>
    </row>
    <row r="2211" spans="1:10" x14ac:dyDescent="0.25">
      <c r="A2211" s="321" t="s">
        <v>5129</v>
      </c>
      <c r="B2211" s="323" t="s">
        <v>121</v>
      </c>
      <c r="C2211" s="323" t="s">
        <v>5154</v>
      </c>
      <c r="D2211" s="392" t="s">
        <v>2320</v>
      </c>
      <c r="E2211" s="387">
        <v>351288</v>
      </c>
      <c r="F2211" s="594">
        <v>42304140</v>
      </c>
      <c r="G2211" s="578">
        <v>74.33</v>
      </c>
      <c r="H2211" s="597">
        <v>42304140</v>
      </c>
      <c r="I2211" s="597"/>
      <c r="J2211" s="323" t="s">
        <v>5152</v>
      </c>
    </row>
    <row r="2212" spans="1:10" x14ac:dyDescent="0.25">
      <c r="A2212" s="321" t="s">
        <v>5129</v>
      </c>
      <c r="B2212" s="323" t="s">
        <v>121</v>
      </c>
      <c r="C2212" s="323" t="s">
        <v>5154</v>
      </c>
      <c r="D2212" s="392" t="s">
        <v>2320</v>
      </c>
      <c r="E2212" s="387">
        <v>351288</v>
      </c>
      <c r="F2212" s="594">
        <v>42253124</v>
      </c>
      <c r="G2212" s="578">
        <v>53.61</v>
      </c>
      <c r="H2212" s="597">
        <v>42253124</v>
      </c>
      <c r="I2212" s="597"/>
      <c r="J2212" s="323" t="s">
        <v>5152</v>
      </c>
    </row>
    <row r="2213" spans="1:10" x14ac:dyDescent="0.25">
      <c r="A2213" s="321">
        <v>43033</v>
      </c>
      <c r="B2213" s="323" t="s">
        <v>127</v>
      </c>
      <c r="D2213" s="392" t="s">
        <v>4664</v>
      </c>
      <c r="E2213" s="387">
        <v>350197</v>
      </c>
      <c r="F2213" s="594"/>
      <c r="G2213" s="578">
        <f>32.71+169.6</f>
        <v>202.31</v>
      </c>
      <c r="H2213" s="597">
        <v>3809325</v>
      </c>
      <c r="I2213" s="597"/>
      <c r="J2213" s="323" t="s">
        <v>179</v>
      </c>
    </row>
    <row r="2214" spans="1:10" x14ac:dyDescent="0.25">
      <c r="A2214" s="321">
        <v>43033</v>
      </c>
      <c r="B2214" s="323" t="s">
        <v>127</v>
      </c>
      <c r="D2214" s="392" t="s">
        <v>4664</v>
      </c>
      <c r="E2214" s="387">
        <v>350197</v>
      </c>
      <c r="F2214" s="594"/>
      <c r="G2214" s="578">
        <f>5.85+40.06</f>
        <v>45.910000000000004</v>
      </c>
      <c r="H2214" s="597">
        <v>3835562</v>
      </c>
      <c r="I2214" s="597"/>
      <c r="J2214" s="323" t="s">
        <v>179</v>
      </c>
    </row>
    <row r="2215" spans="1:10" x14ac:dyDescent="0.25">
      <c r="A2215" s="321">
        <v>43033</v>
      </c>
      <c r="B2215" s="323" t="s">
        <v>127</v>
      </c>
      <c r="D2215" s="392" t="s">
        <v>4664</v>
      </c>
      <c r="E2215" s="387">
        <v>350197</v>
      </c>
      <c r="F2215" s="594"/>
      <c r="G2215" s="578">
        <f>14.49+43.71</f>
        <v>58.2</v>
      </c>
      <c r="H2215" s="597">
        <v>3839059</v>
      </c>
      <c r="I2215" s="597"/>
      <c r="J2215" s="323" t="s">
        <v>179</v>
      </c>
    </row>
    <row r="2216" spans="1:10" x14ac:dyDescent="0.25">
      <c r="A2216" s="321" t="s">
        <v>5158</v>
      </c>
      <c r="B2216" s="323" t="s">
        <v>121</v>
      </c>
      <c r="D2216" s="392" t="s">
        <v>5155</v>
      </c>
      <c r="E2216" s="387">
        <v>350359</v>
      </c>
      <c r="F2216" s="594" t="s">
        <v>5157</v>
      </c>
      <c r="G2216" s="578">
        <v>-320.89999999999998</v>
      </c>
      <c r="H2216" s="597">
        <v>3109</v>
      </c>
      <c r="I2216" s="597"/>
      <c r="J2216" s="323" t="s">
        <v>5156</v>
      </c>
    </row>
    <row r="2217" spans="1:10" x14ac:dyDescent="0.25">
      <c r="A2217" s="321" t="s">
        <v>5158</v>
      </c>
      <c r="B2217" s="323" t="s">
        <v>121</v>
      </c>
      <c r="D2217" s="392" t="s">
        <v>1392</v>
      </c>
      <c r="E2217" s="387">
        <v>226206</v>
      </c>
      <c r="F2217" s="594">
        <v>4068</v>
      </c>
      <c r="G2217" s="578">
        <v>-105.09</v>
      </c>
      <c r="H2217" s="597">
        <v>4068</v>
      </c>
      <c r="I2217" s="597"/>
      <c r="J2217" s="323" t="s">
        <v>5160</v>
      </c>
    </row>
    <row r="2218" spans="1:10" x14ac:dyDescent="0.25">
      <c r="A2218" s="321" t="s">
        <v>5158</v>
      </c>
      <c r="B2218" s="323" t="s">
        <v>121</v>
      </c>
      <c r="C2218" s="323" t="s">
        <v>5154</v>
      </c>
      <c r="D2218" s="392" t="s">
        <v>2320</v>
      </c>
      <c r="E2218" s="387">
        <v>351288</v>
      </c>
      <c r="F2218" s="594">
        <v>4081</v>
      </c>
      <c r="G2218" s="578">
        <v>36.4</v>
      </c>
      <c r="H2218" s="597">
        <v>4081</v>
      </c>
      <c r="I2218" s="597"/>
      <c r="J2218" s="323" t="s">
        <v>5159</v>
      </c>
    </row>
    <row r="2219" spans="1:10" x14ac:dyDescent="0.25">
      <c r="A2219" s="321" t="s">
        <v>5158</v>
      </c>
      <c r="B2219" s="323" t="s">
        <v>121</v>
      </c>
      <c r="C2219" s="323" t="s">
        <v>5154</v>
      </c>
      <c r="D2219" s="392" t="s">
        <v>2320</v>
      </c>
      <c r="E2219" s="387">
        <v>351288</v>
      </c>
      <c r="F2219" s="594">
        <v>4082</v>
      </c>
      <c r="G2219" s="578">
        <v>36.4</v>
      </c>
      <c r="H2219" s="597">
        <v>4082</v>
      </c>
      <c r="I2219" s="597"/>
      <c r="J2219" s="323" t="s">
        <v>5159</v>
      </c>
    </row>
    <row r="2220" spans="1:10" x14ac:dyDescent="0.25">
      <c r="A2220" s="321" t="s">
        <v>5158</v>
      </c>
      <c r="B2220" s="323" t="s">
        <v>121</v>
      </c>
      <c r="C2220" s="323" t="s">
        <v>238</v>
      </c>
      <c r="D2220" s="392" t="s">
        <v>4947</v>
      </c>
      <c r="E2220" s="387">
        <v>352634</v>
      </c>
      <c r="F2220" s="594" t="s">
        <v>5162</v>
      </c>
      <c r="G2220" s="578">
        <v>32.28</v>
      </c>
      <c r="H2220" s="597">
        <v>3871069</v>
      </c>
      <c r="I2220" s="597"/>
      <c r="J2220" s="323" t="s">
        <v>5161</v>
      </c>
    </row>
    <row r="2221" spans="1:10" x14ac:dyDescent="0.25">
      <c r="A2221" s="321" t="s">
        <v>5158</v>
      </c>
      <c r="B2221" s="323" t="s">
        <v>121</v>
      </c>
      <c r="D2221" s="392" t="s">
        <v>5165</v>
      </c>
      <c r="E2221" s="387">
        <v>351018</v>
      </c>
      <c r="F2221" s="594" t="s">
        <v>5166</v>
      </c>
      <c r="G2221" s="578">
        <v>43.85</v>
      </c>
      <c r="H2221" s="597">
        <v>3881763</v>
      </c>
      <c r="I2221" s="597"/>
      <c r="J2221" s="323" t="s">
        <v>5163</v>
      </c>
    </row>
    <row r="2222" spans="1:10" x14ac:dyDescent="0.25">
      <c r="A2222" s="321" t="s">
        <v>5158</v>
      </c>
      <c r="B2222" s="323" t="s">
        <v>121</v>
      </c>
      <c r="C2222" s="323" t="s">
        <v>238</v>
      </c>
      <c r="D2222" s="392" t="s">
        <v>2381</v>
      </c>
      <c r="E2222" s="387">
        <v>352903</v>
      </c>
      <c r="F2222" s="594" t="s">
        <v>5167</v>
      </c>
      <c r="G2222" s="578">
        <v>45.73</v>
      </c>
      <c r="H2222" s="597">
        <v>3852131</v>
      </c>
      <c r="I2222" s="597"/>
      <c r="J2222" s="323" t="s">
        <v>5164</v>
      </c>
    </row>
    <row r="2223" spans="1:10" x14ac:dyDescent="0.25">
      <c r="A2223" s="321" t="s">
        <v>5158</v>
      </c>
      <c r="B2223" s="323" t="s">
        <v>121</v>
      </c>
      <c r="C2223" s="323" t="s">
        <v>2689</v>
      </c>
      <c r="D2223" s="392" t="s">
        <v>181</v>
      </c>
      <c r="E2223" s="387">
        <v>351215</v>
      </c>
      <c r="F2223" s="594" t="s">
        <v>5169</v>
      </c>
      <c r="G2223" s="578">
        <v>58.3</v>
      </c>
      <c r="H2223" s="597">
        <v>3880315</v>
      </c>
      <c r="I2223" s="597"/>
      <c r="J2223" s="323" t="s">
        <v>5168</v>
      </c>
    </row>
    <row r="2224" spans="1:10" x14ac:dyDescent="0.25">
      <c r="A2224" s="321" t="s">
        <v>5158</v>
      </c>
      <c r="B2224" s="323" t="s">
        <v>121</v>
      </c>
      <c r="C2224" s="323" t="s">
        <v>238</v>
      </c>
      <c r="D2224" s="392" t="s">
        <v>2074</v>
      </c>
      <c r="E2224" s="387">
        <v>350437</v>
      </c>
      <c r="F2224" s="594" t="s">
        <v>5173</v>
      </c>
      <c r="G2224" s="578">
        <v>75.900000000000006</v>
      </c>
      <c r="H2224" s="597">
        <v>3857786</v>
      </c>
      <c r="I2224" s="597"/>
      <c r="J2224" s="323" t="s">
        <v>5170</v>
      </c>
    </row>
    <row r="2225" spans="1:10" x14ac:dyDescent="0.25">
      <c r="A2225" s="321" t="s">
        <v>5158</v>
      </c>
      <c r="B2225" s="323" t="s">
        <v>121</v>
      </c>
      <c r="C2225" s="323" t="s">
        <v>238</v>
      </c>
      <c r="D2225" s="392" t="s">
        <v>5172</v>
      </c>
      <c r="E2225" s="387">
        <v>351767</v>
      </c>
      <c r="F2225" s="594" t="s">
        <v>5174</v>
      </c>
      <c r="G2225" s="578">
        <v>79.900000000000006</v>
      </c>
      <c r="H2225" s="597">
        <v>3877003</v>
      </c>
      <c r="I2225" s="597"/>
      <c r="J2225" s="323" t="s">
        <v>5171</v>
      </c>
    </row>
    <row r="2226" spans="1:10" x14ac:dyDescent="0.25">
      <c r="A2226" s="321" t="s">
        <v>5158</v>
      </c>
      <c r="B2226" s="323" t="s">
        <v>121</v>
      </c>
      <c r="C2226" s="323" t="s">
        <v>5154</v>
      </c>
      <c r="D2226" s="392" t="s">
        <v>5176</v>
      </c>
      <c r="E2226" s="387">
        <v>216789</v>
      </c>
      <c r="F2226" s="594">
        <v>3751</v>
      </c>
      <c r="G2226" s="578">
        <v>85.3</v>
      </c>
      <c r="H2226" s="597">
        <v>3751</v>
      </c>
      <c r="I2226" s="597"/>
      <c r="J2226" s="323" t="s">
        <v>5175</v>
      </c>
    </row>
    <row r="2227" spans="1:10" x14ac:dyDescent="0.25">
      <c r="A2227" s="321" t="s">
        <v>5158</v>
      </c>
      <c r="B2227" s="323" t="s">
        <v>121</v>
      </c>
      <c r="C2227" s="323" t="s">
        <v>238</v>
      </c>
      <c r="D2227" s="392" t="s">
        <v>2467</v>
      </c>
      <c r="E2227" s="387">
        <v>353208</v>
      </c>
      <c r="F2227" s="594" t="s">
        <v>5180</v>
      </c>
      <c r="G2227" s="578">
        <v>220.91</v>
      </c>
      <c r="H2227" s="597">
        <v>3881072</v>
      </c>
      <c r="I2227" s="597"/>
      <c r="J2227" s="323" t="s">
        <v>5177</v>
      </c>
    </row>
    <row r="2228" spans="1:10" x14ac:dyDescent="0.25">
      <c r="A2228" s="321" t="s">
        <v>5158</v>
      </c>
      <c r="B2228" s="323" t="s">
        <v>121</v>
      </c>
      <c r="D2228" s="392" t="s">
        <v>2349</v>
      </c>
      <c r="E2228" s="387">
        <v>213128</v>
      </c>
      <c r="F2228" s="594" t="s">
        <v>5182</v>
      </c>
      <c r="G2228" s="578">
        <v>226.51</v>
      </c>
      <c r="H2228" s="597">
        <v>3868893</v>
      </c>
      <c r="I2228" s="597"/>
      <c r="J2228" s="323" t="s">
        <v>5178</v>
      </c>
    </row>
    <row r="2229" spans="1:10" x14ac:dyDescent="0.25">
      <c r="A2229" s="321" t="s">
        <v>5158</v>
      </c>
      <c r="B2229" s="323" t="s">
        <v>121</v>
      </c>
      <c r="C2229" s="323" t="s">
        <v>238</v>
      </c>
      <c r="D2229" s="392" t="s">
        <v>2922</v>
      </c>
      <c r="E2229" s="387">
        <v>352210</v>
      </c>
      <c r="F2229" s="594" t="s">
        <v>5183</v>
      </c>
      <c r="G2229" s="578">
        <v>89.25</v>
      </c>
      <c r="H2229" s="597">
        <v>3863731</v>
      </c>
      <c r="I2229" s="597"/>
      <c r="J2229" s="323" t="s">
        <v>5187</v>
      </c>
    </row>
    <row r="2230" spans="1:10" x14ac:dyDescent="0.25">
      <c r="A2230" s="321" t="s">
        <v>5158</v>
      </c>
      <c r="B2230" s="323" t="s">
        <v>121</v>
      </c>
      <c r="C2230" s="323" t="s">
        <v>238</v>
      </c>
      <c r="D2230" s="392" t="s">
        <v>2922</v>
      </c>
      <c r="E2230" s="387">
        <v>352210</v>
      </c>
      <c r="F2230" s="594" t="s">
        <v>5184</v>
      </c>
      <c r="G2230" s="578">
        <v>105.95</v>
      </c>
      <c r="H2230" s="597">
        <v>3880337</v>
      </c>
      <c r="I2230" s="597"/>
      <c r="J2230" s="323" t="s">
        <v>5179</v>
      </c>
    </row>
    <row r="2231" spans="1:10" x14ac:dyDescent="0.25">
      <c r="A2231" s="321" t="s">
        <v>5158</v>
      </c>
      <c r="B2231" s="323" t="s">
        <v>121</v>
      </c>
      <c r="C2231" s="323" t="s">
        <v>238</v>
      </c>
      <c r="D2231" s="392" t="s">
        <v>2922</v>
      </c>
      <c r="E2231" s="387">
        <v>352210</v>
      </c>
      <c r="F2231" s="594" t="s">
        <v>5181</v>
      </c>
      <c r="G2231" s="578">
        <v>169.9</v>
      </c>
      <c r="H2231" s="597">
        <v>3856769</v>
      </c>
      <c r="I2231" s="597"/>
      <c r="J2231" s="323" t="s">
        <v>5179</v>
      </c>
    </row>
    <row r="2232" spans="1:10" x14ac:dyDescent="0.25">
      <c r="A2232" s="321">
        <v>43041</v>
      </c>
      <c r="B2232" s="323" t="s">
        <v>127</v>
      </c>
      <c r="C2232" s="323" t="s">
        <v>4551</v>
      </c>
      <c r="D2232" s="392" t="s">
        <v>192</v>
      </c>
      <c r="E2232" s="387">
        <v>223720</v>
      </c>
      <c r="F2232" s="594"/>
      <c r="G2232" s="578">
        <f>24.63+50.04</f>
        <v>74.67</v>
      </c>
      <c r="H2232" s="597">
        <v>3841584</v>
      </c>
      <c r="I2232" s="597"/>
      <c r="J2232" s="323" t="s">
        <v>5185</v>
      </c>
    </row>
    <row r="2233" spans="1:10" x14ac:dyDescent="0.25">
      <c r="A2233" s="321" t="s">
        <v>5186</v>
      </c>
      <c r="B2233" s="323" t="s">
        <v>121</v>
      </c>
      <c r="D2233" s="392" t="s">
        <v>5176</v>
      </c>
      <c r="E2233" s="387">
        <v>216789</v>
      </c>
      <c r="F2233" s="594">
        <v>4299</v>
      </c>
      <c r="G2233" s="578">
        <v>-102.85</v>
      </c>
      <c r="H2233" s="597">
        <v>4299</v>
      </c>
      <c r="I2233" s="597"/>
      <c r="J2233" s="323" t="s">
        <v>5188</v>
      </c>
    </row>
    <row r="2234" spans="1:10" x14ac:dyDescent="0.25">
      <c r="A2234" s="321" t="s">
        <v>5186</v>
      </c>
      <c r="B2234" s="323" t="s">
        <v>121</v>
      </c>
      <c r="D2234" s="392" t="s">
        <v>5190</v>
      </c>
      <c r="E2234" s="387">
        <v>352651</v>
      </c>
      <c r="F2234" s="594">
        <v>5368</v>
      </c>
      <c r="G2234" s="578">
        <v>-87.86</v>
      </c>
      <c r="H2234" s="597">
        <v>5368</v>
      </c>
      <c r="I2234" s="597"/>
      <c r="J2234" s="323" t="s">
        <v>5189</v>
      </c>
    </row>
    <row r="2235" spans="1:10" x14ac:dyDescent="0.25">
      <c r="A2235" s="321" t="s">
        <v>5186</v>
      </c>
      <c r="B2235" s="323" t="s">
        <v>121</v>
      </c>
      <c r="D2235" s="392" t="s">
        <v>4364</v>
      </c>
      <c r="E2235" s="387">
        <v>212285</v>
      </c>
      <c r="F2235" s="594">
        <v>4622</v>
      </c>
      <c r="G2235" s="578">
        <v>-63.13</v>
      </c>
      <c r="H2235" s="597">
        <v>4622</v>
      </c>
      <c r="I2235" s="597"/>
      <c r="J2235" s="323" t="s">
        <v>5192</v>
      </c>
    </row>
    <row r="2236" spans="1:10" x14ac:dyDescent="0.25">
      <c r="A2236" s="321" t="s">
        <v>5186</v>
      </c>
      <c r="B2236" s="323" t="s">
        <v>121</v>
      </c>
      <c r="C2236" s="323" t="s">
        <v>2688</v>
      </c>
      <c r="D2236" s="392" t="s">
        <v>181</v>
      </c>
      <c r="E2236" s="387">
        <v>351215</v>
      </c>
      <c r="F2236" s="594" t="s">
        <v>5169</v>
      </c>
      <c r="G2236" s="578">
        <v>-58.3</v>
      </c>
      <c r="H2236" s="597">
        <v>3880315</v>
      </c>
      <c r="I2236" s="597"/>
      <c r="J2236" s="323" t="s">
        <v>5191</v>
      </c>
    </row>
    <row r="2237" spans="1:10" x14ac:dyDescent="0.25">
      <c r="A2237" s="321" t="s">
        <v>5186</v>
      </c>
      <c r="B2237" s="323" t="s">
        <v>121</v>
      </c>
      <c r="C2237" s="323" t="s">
        <v>238</v>
      </c>
      <c r="D2237" s="392" t="s">
        <v>3042</v>
      </c>
      <c r="E2237" s="387">
        <v>352363</v>
      </c>
      <c r="F2237" s="594" t="s">
        <v>5194</v>
      </c>
      <c r="G2237" s="578">
        <v>35.950000000000003</v>
      </c>
      <c r="H2237" s="597">
        <v>3883368</v>
      </c>
      <c r="I2237" s="597"/>
      <c r="J2237" s="323" t="s">
        <v>5193</v>
      </c>
    </row>
    <row r="2238" spans="1:10" x14ac:dyDescent="0.25">
      <c r="A2238" s="321" t="s">
        <v>5186</v>
      </c>
      <c r="B2238" s="323" t="s">
        <v>121</v>
      </c>
      <c r="C2238" s="323" t="s">
        <v>238</v>
      </c>
      <c r="D2238" s="392" t="s">
        <v>4726</v>
      </c>
      <c r="E2238" s="387">
        <v>211600</v>
      </c>
      <c r="F2238" s="594" t="s">
        <v>5197</v>
      </c>
      <c r="G2238" s="578">
        <v>39.85</v>
      </c>
      <c r="H2238" s="597">
        <v>3894419</v>
      </c>
      <c r="I2238" s="597"/>
      <c r="J2238" s="323" t="s">
        <v>5195</v>
      </c>
    </row>
    <row r="2239" spans="1:10" x14ac:dyDescent="0.25">
      <c r="A2239" s="321" t="s">
        <v>5186</v>
      </c>
      <c r="B2239" s="323" t="s">
        <v>121</v>
      </c>
      <c r="D2239" s="392" t="s">
        <v>3945</v>
      </c>
      <c r="E2239" s="387">
        <v>352916</v>
      </c>
      <c r="F2239" s="594">
        <v>5366</v>
      </c>
      <c r="G2239" s="578">
        <v>44.38</v>
      </c>
      <c r="H2239" s="597">
        <v>5366</v>
      </c>
      <c r="I2239" s="597"/>
      <c r="J2239" s="323" t="s">
        <v>5196</v>
      </c>
    </row>
    <row r="2240" spans="1:10" x14ac:dyDescent="0.25">
      <c r="A2240" s="321" t="s">
        <v>5186</v>
      </c>
      <c r="B2240" s="323" t="s">
        <v>121</v>
      </c>
      <c r="C2240" s="323" t="s">
        <v>5154</v>
      </c>
      <c r="D2240" s="392" t="s">
        <v>4335</v>
      </c>
      <c r="E2240" s="387">
        <v>288</v>
      </c>
      <c r="F2240" s="594">
        <v>6504</v>
      </c>
      <c r="G2240" s="578">
        <v>47.95</v>
      </c>
      <c r="H2240" s="597">
        <v>6504</v>
      </c>
      <c r="I2240" s="597"/>
      <c r="J2240" s="323" t="s">
        <v>5198</v>
      </c>
    </row>
    <row r="2241" spans="1:10" x14ac:dyDescent="0.25">
      <c r="A2241" s="321" t="s">
        <v>5186</v>
      </c>
      <c r="B2241" s="323" t="s">
        <v>121</v>
      </c>
      <c r="C2241" s="323" t="s">
        <v>238</v>
      </c>
      <c r="D2241" s="392" t="s">
        <v>62</v>
      </c>
      <c r="E2241" s="387">
        <v>219793</v>
      </c>
      <c r="F2241" s="594" t="s">
        <v>5200</v>
      </c>
      <c r="G2241" s="578">
        <v>50.83</v>
      </c>
      <c r="H2241" s="597">
        <v>3886487</v>
      </c>
      <c r="I2241" s="597"/>
      <c r="J2241" s="323" t="s">
        <v>5199</v>
      </c>
    </row>
    <row r="2242" spans="1:10" x14ac:dyDescent="0.25">
      <c r="A2242" s="321" t="s">
        <v>5186</v>
      </c>
      <c r="B2242" s="323" t="s">
        <v>121</v>
      </c>
      <c r="C2242" s="323" t="s">
        <v>2689</v>
      </c>
      <c r="D2242" s="392" t="s">
        <v>5203</v>
      </c>
      <c r="E2242" s="387">
        <v>215245</v>
      </c>
      <c r="F2242" s="597" t="s">
        <v>5205</v>
      </c>
      <c r="G2242" s="578">
        <v>57.95</v>
      </c>
      <c r="H2242" s="597">
        <v>3904851</v>
      </c>
      <c r="I2242" s="597"/>
      <c r="J2242" s="323" t="s">
        <v>5201</v>
      </c>
    </row>
    <row r="2243" spans="1:10" x14ac:dyDescent="0.25">
      <c r="A2243" s="321" t="s">
        <v>5186</v>
      </c>
      <c r="B2243" s="323" t="s">
        <v>121</v>
      </c>
      <c r="C2243" s="323" t="s">
        <v>238</v>
      </c>
      <c r="D2243" s="392" t="s">
        <v>1902</v>
      </c>
      <c r="E2243" s="387">
        <v>351128</v>
      </c>
      <c r="F2243" s="594" t="s">
        <v>5204</v>
      </c>
      <c r="G2243" s="578">
        <v>58.95</v>
      </c>
      <c r="H2243" s="597">
        <v>3894766</v>
      </c>
      <c r="I2243" s="597"/>
      <c r="J2243" s="323" t="s">
        <v>5202</v>
      </c>
    </row>
    <row r="2244" spans="1:10" x14ac:dyDescent="0.25">
      <c r="A2244" s="321" t="s">
        <v>5186</v>
      </c>
      <c r="B2244" s="323" t="s">
        <v>121</v>
      </c>
      <c r="C2244" s="323" t="s">
        <v>238</v>
      </c>
      <c r="D2244" s="392" t="s">
        <v>5207</v>
      </c>
      <c r="E2244" s="387">
        <v>350392</v>
      </c>
      <c r="F2244" s="594" t="s">
        <v>5208</v>
      </c>
      <c r="G2244" s="578">
        <v>75.91</v>
      </c>
      <c r="H2244" s="597">
        <v>3905713</v>
      </c>
      <c r="I2244" s="597"/>
      <c r="J2244" s="323" t="s">
        <v>5206</v>
      </c>
    </row>
    <row r="2245" spans="1:10" x14ac:dyDescent="0.25">
      <c r="A2245" s="321" t="s">
        <v>5186</v>
      </c>
      <c r="B2245" s="323" t="s">
        <v>121</v>
      </c>
      <c r="C2245" s="323" t="s">
        <v>238</v>
      </c>
      <c r="D2245" s="392" t="s">
        <v>5210</v>
      </c>
      <c r="E2245" s="387">
        <v>350049</v>
      </c>
      <c r="F2245" s="594" t="s">
        <v>5212</v>
      </c>
      <c r="G2245" s="578">
        <v>90.95</v>
      </c>
      <c r="H2245" s="597">
        <v>3879569</v>
      </c>
      <c r="I2245" s="597"/>
      <c r="J2245" s="323" t="s">
        <v>5209</v>
      </c>
    </row>
    <row r="2246" spans="1:10" x14ac:dyDescent="0.25">
      <c r="A2246" s="321" t="s">
        <v>5186</v>
      </c>
      <c r="B2246" s="323" t="s">
        <v>121</v>
      </c>
      <c r="C2246" s="323" t="s">
        <v>5154</v>
      </c>
      <c r="D2246" s="392" t="s">
        <v>2098</v>
      </c>
      <c r="E2246" s="387">
        <v>351064</v>
      </c>
      <c r="F2246" s="594">
        <v>6086</v>
      </c>
      <c r="G2246" s="578">
        <v>93.18</v>
      </c>
      <c r="H2246" s="597">
        <v>6086</v>
      </c>
      <c r="I2246" s="597"/>
      <c r="J2246" s="323" t="s">
        <v>5211</v>
      </c>
    </row>
    <row r="2247" spans="1:10" x14ac:dyDescent="0.25">
      <c r="A2247" s="321" t="s">
        <v>5186</v>
      </c>
      <c r="B2247" s="323" t="s">
        <v>121</v>
      </c>
      <c r="C2247" s="323" t="s">
        <v>5154</v>
      </c>
      <c r="D2247" s="392" t="s">
        <v>3767</v>
      </c>
      <c r="E2247" s="387">
        <v>426</v>
      </c>
      <c r="F2247" s="594" t="s">
        <v>5216</v>
      </c>
      <c r="G2247" s="578">
        <v>100.95</v>
      </c>
      <c r="H2247" s="597">
        <v>6014</v>
      </c>
      <c r="I2247" s="597"/>
      <c r="J2247" s="323" t="s">
        <v>5213</v>
      </c>
    </row>
    <row r="2248" spans="1:10" x14ac:dyDescent="0.25">
      <c r="A2248" s="321" t="s">
        <v>5186</v>
      </c>
      <c r="B2248" s="323" t="s">
        <v>121</v>
      </c>
      <c r="C2248" s="323" t="s">
        <v>238</v>
      </c>
      <c r="D2248" s="392" t="s">
        <v>2367</v>
      </c>
      <c r="E2248" s="387">
        <v>351522</v>
      </c>
      <c r="F2248" s="594" t="s">
        <v>5217</v>
      </c>
      <c r="G2248" s="578">
        <v>117.51</v>
      </c>
      <c r="H2248" s="597">
        <v>3909083</v>
      </c>
      <c r="I2248" s="597"/>
      <c r="J2248" s="323" t="s">
        <v>5214</v>
      </c>
    </row>
    <row r="2249" spans="1:10" x14ac:dyDescent="0.25">
      <c r="A2249" s="321" t="s">
        <v>5186</v>
      </c>
      <c r="B2249" s="323" t="s">
        <v>121</v>
      </c>
      <c r="C2249" s="323" t="s">
        <v>238</v>
      </c>
      <c r="D2249" s="392" t="s">
        <v>2084</v>
      </c>
      <c r="E2249" s="387">
        <v>352125</v>
      </c>
      <c r="F2249" s="594" t="s">
        <v>5218</v>
      </c>
      <c r="G2249" s="578">
        <v>122.95</v>
      </c>
      <c r="H2249" s="597">
        <v>3909767</v>
      </c>
      <c r="I2249" s="597"/>
      <c r="J2249" s="323" t="s">
        <v>5215</v>
      </c>
    </row>
    <row r="2250" spans="1:10" x14ac:dyDescent="0.25">
      <c r="A2250" s="321" t="s">
        <v>5186</v>
      </c>
      <c r="B2250" s="323" t="s">
        <v>121</v>
      </c>
      <c r="C2250" s="323" t="s">
        <v>238</v>
      </c>
      <c r="D2250" s="392" t="s">
        <v>3448</v>
      </c>
      <c r="E2250" s="387">
        <v>352510</v>
      </c>
      <c r="F2250" s="594" t="s">
        <v>5220</v>
      </c>
      <c r="G2250" s="578">
        <v>191.85</v>
      </c>
      <c r="H2250" s="597">
        <v>3901115</v>
      </c>
      <c r="I2250" s="597"/>
      <c r="J2250" s="323" t="s">
        <v>5219</v>
      </c>
    </row>
    <row r="2251" spans="1:10" x14ac:dyDescent="0.25">
      <c r="A2251" s="321" t="s">
        <v>5186</v>
      </c>
      <c r="B2251" s="323" t="s">
        <v>121</v>
      </c>
      <c r="C2251" s="323" t="s">
        <v>238</v>
      </c>
      <c r="D2251" s="392" t="s">
        <v>5221</v>
      </c>
      <c r="E2251" s="387">
        <v>354205</v>
      </c>
      <c r="F2251" s="594"/>
      <c r="G2251" s="578">
        <f>48.02</f>
        <v>48.02</v>
      </c>
      <c r="H2251" s="597"/>
      <c r="I2251" s="597"/>
      <c r="J2251" s="323" t="s">
        <v>3267</v>
      </c>
    </row>
    <row r="2252" spans="1:10" x14ac:dyDescent="0.25">
      <c r="A2252" s="321" t="s">
        <v>5186</v>
      </c>
      <c r="B2252" s="323" t="s">
        <v>121</v>
      </c>
      <c r="C2252" s="323" t="s">
        <v>5225</v>
      </c>
      <c r="D2252" s="392" t="s">
        <v>5221</v>
      </c>
      <c r="E2252" s="387">
        <v>354205</v>
      </c>
      <c r="F2252" s="594"/>
      <c r="G2252" s="578">
        <f>345.28-48.02</f>
        <v>297.26</v>
      </c>
      <c r="H2252" s="597"/>
      <c r="I2252" s="597"/>
      <c r="J2252" s="323" t="s">
        <v>5223</v>
      </c>
    </row>
    <row r="2253" spans="1:10" x14ac:dyDescent="0.25">
      <c r="A2253" s="321">
        <v>43046</v>
      </c>
      <c r="B2253" s="323" t="s">
        <v>127</v>
      </c>
      <c r="C2253" s="323" t="s">
        <v>5224</v>
      </c>
      <c r="D2253" s="392" t="s">
        <v>5222</v>
      </c>
      <c r="E2253" s="387">
        <v>354888</v>
      </c>
      <c r="F2253" s="594"/>
      <c r="G2253" s="578">
        <f>22.78+66.55</f>
        <v>89.33</v>
      </c>
      <c r="H2253" s="597">
        <v>3895099</v>
      </c>
      <c r="I2253" s="597"/>
      <c r="J2253" s="323" t="s">
        <v>2682</v>
      </c>
    </row>
    <row r="2254" spans="1:10" x14ac:dyDescent="0.25">
      <c r="A2254" s="321">
        <v>43048</v>
      </c>
      <c r="B2254" s="323" t="s">
        <v>127</v>
      </c>
      <c r="C2254" s="323" t="s">
        <v>5224</v>
      </c>
      <c r="D2254" s="392" t="s">
        <v>5222</v>
      </c>
      <c r="E2254" s="387">
        <v>354888</v>
      </c>
      <c r="F2254" s="594"/>
      <c r="G2254" s="578">
        <f>19.13+37.5</f>
        <v>56.629999999999995</v>
      </c>
      <c r="H2254" s="597">
        <v>3903106</v>
      </c>
      <c r="I2254" s="597"/>
      <c r="J2254" s="323" t="s">
        <v>2682</v>
      </c>
    </row>
    <row r="2255" spans="1:10" x14ac:dyDescent="0.25">
      <c r="A2255" s="321">
        <v>43048</v>
      </c>
      <c r="B2255" s="323" t="s">
        <v>127</v>
      </c>
      <c r="C2255" s="323" t="s">
        <v>5224</v>
      </c>
      <c r="D2255" s="392" t="s">
        <v>5222</v>
      </c>
      <c r="E2255" s="387">
        <v>354888</v>
      </c>
      <c r="F2255" s="594"/>
      <c r="G2255" s="578">
        <f>31.81+44.44</f>
        <v>76.25</v>
      </c>
      <c r="H2255" s="597">
        <v>3897761</v>
      </c>
      <c r="I2255" s="597"/>
      <c r="J2255" s="323" t="s">
        <v>2682</v>
      </c>
    </row>
    <row r="2256" spans="1:10" x14ac:dyDescent="0.25">
      <c r="A2256" s="321">
        <v>43049</v>
      </c>
      <c r="B2256" s="323" t="s">
        <v>127</v>
      </c>
      <c r="C2256" s="323" t="s">
        <v>5224</v>
      </c>
      <c r="D2256" s="392" t="s">
        <v>5222</v>
      </c>
      <c r="E2256" s="387">
        <v>354888</v>
      </c>
      <c r="F2256" s="594"/>
      <c r="G2256" s="578">
        <f>49.08+25.97</f>
        <v>75.05</v>
      </c>
      <c r="H2256" s="597">
        <v>3905093</v>
      </c>
      <c r="I2256" s="597"/>
      <c r="J2256" s="323" t="s">
        <v>2682</v>
      </c>
    </row>
    <row r="2257" spans="1:10" x14ac:dyDescent="0.25">
      <c r="A2257" s="321" t="s">
        <v>5227</v>
      </c>
      <c r="B2257" s="323" t="s">
        <v>121</v>
      </c>
      <c r="C2257" s="323" t="s">
        <v>2688</v>
      </c>
      <c r="D2257" s="392" t="s">
        <v>5203</v>
      </c>
      <c r="E2257" s="387">
        <v>215245</v>
      </c>
      <c r="F2257" s="597" t="s">
        <v>5205</v>
      </c>
      <c r="G2257" s="578">
        <v>-57.95</v>
      </c>
      <c r="H2257" s="597">
        <v>3904851</v>
      </c>
      <c r="I2257" s="597"/>
      <c r="J2257" s="323" t="s">
        <v>5226</v>
      </c>
    </row>
    <row r="2258" spans="1:10" x14ac:dyDescent="0.25">
      <c r="A2258" s="321" t="s">
        <v>5227</v>
      </c>
      <c r="B2258" s="323" t="s">
        <v>121</v>
      </c>
      <c r="C2258" s="323" t="s">
        <v>2688</v>
      </c>
      <c r="D2258" s="392" t="s">
        <v>4849</v>
      </c>
      <c r="E2258" s="387">
        <v>351811</v>
      </c>
      <c r="F2258" s="594" t="s">
        <v>4850</v>
      </c>
      <c r="G2258" s="578">
        <v>-89.95</v>
      </c>
      <c r="H2258" s="597">
        <v>3672181</v>
      </c>
      <c r="I2258" s="597"/>
      <c r="J2258" s="323" t="s">
        <v>5228</v>
      </c>
    </row>
    <row r="2259" spans="1:10" x14ac:dyDescent="0.25">
      <c r="A2259" s="321" t="s">
        <v>5227</v>
      </c>
      <c r="B2259" s="323" t="s">
        <v>121</v>
      </c>
      <c r="D2259" s="392" t="s">
        <v>2993</v>
      </c>
      <c r="E2259" s="387">
        <v>487</v>
      </c>
      <c r="F2259" s="594">
        <v>8532</v>
      </c>
      <c r="G2259" s="578">
        <v>-173.2</v>
      </c>
      <c r="H2259" s="597">
        <v>8532</v>
      </c>
      <c r="I2259" s="597"/>
      <c r="J2259" s="323" t="s">
        <v>5229</v>
      </c>
    </row>
    <row r="2260" spans="1:10" x14ac:dyDescent="0.25">
      <c r="A2260" s="321" t="s">
        <v>5227</v>
      </c>
      <c r="B2260" s="323" t="s">
        <v>121</v>
      </c>
      <c r="D2260" s="392" t="s">
        <v>2098</v>
      </c>
      <c r="E2260" s="387">
        <v>351064</v>
      </c>
      <c r="F2260" s="594">
        <v>7488</v>
      </c>
      <c r="G2260" s="578">
        <v>-26.19</v>
      </c>
      <c r="H2260" s="597">
        <v>7488</v>
      </c>
      <c r="I2260" s="597"/>
      <c r="J2260" s="323" t="s">
        <v>5230</v>
      </c>
    </row>
    <row r="2261" spans="1:10" x14ac:dyDescent="0.25">
      <c r="A2261" s="321" t="s">
        <v>5227</v>
      </c>
      <c r="B2261" s="323" t="s">
        <v>121</v>
      </c>
      <c r="D2261" s="392" t="s">
        <v>212</v>
      </c>
      <c r="E2261" s="387">
        <v>350843</v>
      </c>
      <c r="F2261" s="594">
        <v>8061</v>
      </c>
      <c r="G2261" s="578">
        <v>-88.63</v>
      </c>
      <c r="H2261" s="597">
        <v>8061</v>
      </c>
      <c r="I2261" s="597"/>
      <c r="J2261" s="323" t="s">
        <v>5231</v>
      </c>
    </row>
    <row r="2262" spans="1:10" x14ac:dyDescent="0.25">
      <c r="A2262" s="321" t="s">
        <v>5227</v>
      </c>
      <c r="B2262" s="323" t="s">
        <v>121</v>
      </c>
      <c r="D2262" s="392" t="s">
        <v>1477</v>
      </c>
      <c r="E2262" s="387">
        <v>82146</v>
      </c>
      <c r="F2262" s="594">
        <v>7491</v>
      </c>
      <c r="G2262" s="578">
        <v>-93.82</v>
      </c>
      <c r="H2262" s="597">
        <v>7491</v>
      </c>
      <c r="I2262" s="597"/>
      <c r="J2262" s="323" t="s">
        <v>5232</v>
      </c>
    </row>
    <row r="2263" spans="1:10" x14ac:dyDescent="0.25">
      <c r="A2263" s="321" t="s">
        <v>5227</v>
      </c>
      <c r="B2263" s="323" t="s">
        <v>121</v>
      </c>
      <c r="D2263" s="392" t="s">
        <v>2320</v>
      </c>
      <c r="E2263" s="387">
        <v>351288</v>
      </c>
      <c r="F2263" s="594">
        <v>8977</v>
      </c>
      <c r="G2263" s="578">
        <v>-41.39</v>
      </c>
      <c r="H2263" s="597">
        <v>8977</v>
      </c>
      <c r="I2263" s="597"/>
      <c r="J2263" s="323" t="s">
        <v>5233</v>
      </c>
    </row>
    <row r="2264" spans="1:10" x14ac:dyDescent="0.25">
      <c r="A2264" s="321" t="s">
        <v>5227</v>
      </c>
      <c r="B2264" s="323" t="s">
        <v>121</v>
      </c>
      <c r="D2264" s="392" t="s">
        <v>3965</v>
      </c>
      <c r="E2264" s="387">
        <v>351729</v>
      </c>
      <c r="F2264" s="594">
        <v>8789</v>
      </c>
      <c r="G2264" s="578">
        <v>-292.07</v>
      </c>
      <c r="H2264" s="597">
        <v>8789</v>
      </c>
      <c r="I2264" s="597"/>
      <c r="J2264" s="323" t="s">
        <v>5234</v>
      </c>
    </row>
    <row r="2265" spans="1:10" x14ac:dyDescent="0.25">
      <c r="A2265" s="321" t="s">
        <v>5227</v>
      </c>
      <c r="B2265" s="323" t="s">
        <v>121</v>
      </c>
      <c r="C2265" s="323" t="s">
        <v>238</v>
      </c>
      <c r="D2265" s="392" t="s">
        <v>1971</v>
      </c>
      <c r="E2265" s="387">
        <v>352954</v>
      </c>
      <c r="F2265" s="594"/>
      <c r="G2265" s="578">
        <v>47.12</v>
      </c>
      <c r="H2265" s="597"/>
      <c r="I2265" s="597"/>
      <c r="J2265" s="323" t="s">
        <v>2374</v>
      </c>
    </row>
    <row r="2266" spans="1:10" x14ac:dyDescent="0.25">
      <c r="A2266" s="321" t="s">
        <v>5227</v>
      </c>
      <c r="B2266" s="323" t="s">
        <v>121</v>
      </c>
      <c r="C2266" s="323" t="s">
        <v>238</v>
      </c>
      <c r="D2266" s="392" t="s">
        <v>392</v>
      </c>
      <c r="E2266" s="387">
        <v>350600</v>
      </c>
      <c r="F2266" s="594" t="s">
        <v>5238</v>
      </c>
      <c r="G2266" s="578">
        <v>87.9</v>
      </c>
      <c r="H2266" s="597">
        <v>3913582</v>
      </c>
      <c r="I2266" s="597"/>
      <c r="J2266" s="323" t="s">
        <v>5235</v>
      </c>
    </row>
    <row r="2267" spans="1:10" x14ac:dyDescent="0.25">
      <c r="A2267" s="321" t="s">
        <v>5227</v>
      </c>
      <c r="B2267" s="323" t="s">
        <v>121</v>
      </c>
      <c r="C2267" s="323" t="s">
        <v>238</v>
      </c>
      <c r="D2267" s="392" t="s">
        <v>5236</v>
      </c>
      <c r="E2267" s="387">
        <v>351450</v>
      </c>
      <c r="F2267" s="594" t="s">
        <v>5239</v>
      </c>
      <c r="G2267" s="578">
        <v>372.44</v>
      </c>
      <c r="H2267" s="597">
        <v>3937322</v>
      </c>
      <c r="I2267" s="597"/>
      <c r="J2267" s="323" t="s">
        <v>5237</v>
      </c>
    </row>
    <row r="2268" spans="1:10" x14ac:dyDescent="0.25">
      <c r="A2268" s="321" t="s">
        <v>5227</v>
      </c>
      <c r="B2268" s="323" t="s">
        <v>121</v>
      </c>
      <c r="C2268" s="323" t="s">
        <v>238</v>
      </c>
      <c r="D2268" s="392"/>
      <c r="E2268" s="387"/>
      <c r="F2268" s="594" t="s">
        <v>5242</v>
      </c>
      <c r="G2268" s="578">
        <v>132.9</v>
      </c>
      <c r="H2268" s="597">
        <v>3919142</v>
      </c>
      <c r="I2268" s="597"/>
      <c r="J2268" s="323" t="s">
        <v>5241</v>
      </c>
    </row>
    <row r="2269" spans="1:10" x14ac:dyDescent="0.25">
      <c r="A2269" s="321">
        <v>43053</v>
      </c>
      <c r="B2269" s="323" t="s">
        <v>127</v>
      </c>
      <c r="C2269" s="323" t="s">
        <v>5243</v>
      </c>
      <c r="D2269" s="392" t="s">
        <v>192</v>
      </c>
      <c r="E2269" s="387">
        <v>223720</v>
      </c>
      <c r="F2269" s="594"/>
      <c r="G2269" s="578">
        <f>62.52+8.21</f>
        <v>70.73</v>
      </c>
      <c r="H2269" s="597">
        <v>3928165</v>
      </c>
      <c r="I2269" s="597"/>
      <c r="J2269" s="323" t="s">
        <v>2682</v>
      </c>
    </row>
    <row r="2270" spans="1:10" x14ac:dyDescent="0.25">
      <c r="A2270" s="321" t="s">
        <v>5240</v>
      </c>
      <c r="B2270" s="323" t="s">
        <v>121</v>
      </c>
      <c r="C2270" s="323" t="s">
        <v>2688</v>
      </c>
      <c r="D2270" s="392" t="s">
        <v>2396</v>
      </c>
      <c r="E2270" s="387">
        <v>350457</v>
      </c>
      <c r="F2270" s="594" t="s">
        <v>5071</v>
      </c>
      <c r="G2270" s="578">
        <v>-90.95</v>
      </c>
      <c r="H2270" s="597">
        <v>3809483</v>
      </c>
      <c r="I2270" s="597"/>
      <c r="J2270" s="323" t="s">
        <v>5064</v>
      </c>
    </row>
    <row r="2271" spans="1:10" x14ac:dyDescent="0.25">
      <c r="A2271" s="321" t="s">
        <v>5240</v>
      </c>
      <c r="B2271" s="323" t="s">
        <v>121</v>
      </c>
      <c r="D2271" s="392" t="s">
        <v>5245</v>
      </c>
      <c r="E2271" s="387">
        <v>353153</v>
      </c>
      <c r="F2271" s="594">
        <v>10707</v>
      </c>
      <c r="G2271" s="578">
        <v>-167.58</v>
      </c>
      <c r="H2271" s="597">
        <v>10707</v>
      </c>
      <c r="I2271" s="597"/>
      <c r="J2271" s="323" t="s">
        <v>5244</v>
      </c>
    </row>
    <row r="2272" spans="1:10" x14ac:dyDescent="0.25">
      <c r="A2272" s="321" t="s">
        <v>5240</v>
      </c>
      <c r="B2272" s="323" t="s">
        <v>121</v>
      </c>
      <c r="D2272" s="392" t="s">
        <v>5248</v>
      </c>
      <c r="E2272" s="387">
        <v>2035</v>
      </c>
      <c r="F2272" s="594">
        <v>9646</v>
      </c>
      <c r="G2272" s="578">
        <v>-69.95</v>
      </c>
      <c r="H2272" s="597">
        <v>9646</v>
      </c>
      <c r="I2272" s="597"/>
      <c r="J2272" s="323" t="s">
        <v>5246</v>
      </c>
    </row>
    <row r="2273" spans="1:10" x14ac:dyDescent="0.25">
      <c r="A2273" s="321" t="s">
        <v>5240</v>
      </c>
      <c r="B2273" s="323" t="s">
        <v>121</v>
      </c>
      <c r="D2273" s="392" t="s">
        <v>317</v>
      </c>
      <c r="E2273" s="387">
        <v>772</v>
      </c>
      <c r="F2273" s="594">
        <v>9946</v>
      </c>
      <c r="G2273" s="578">
        <v>-47.93</v>
      </c>
      <c r="H2273" s="597">
        <v>9946</v>
      </c>
      <c r="I2273" s="597"/>
      <c r="J2273" s="323" t="s">
        <v>5247</v>
      </c>
    </row>
    <row r="2274" spans="1:10" x14ac:dyDescent="0.25">
      <c r="A2274" s="321" t="s">
        <v>5240</v>
      </c>
      <c r="B2274" s="323" t="s">
        <v>121</v>
      </c>
      <c r="D2274" s="392" t="s">
        <v>1379</v>
      </c>
      <c r="E2274" s="387">
        <v>217835</v>
      </c>
      <c r="F2274" s="594">
        <v>10189</v>
      </c>
      <c r="G2274" s="578">
        <v>-21.16</v>
      </c>
      <c r="H2274" s="597">
        <v>10189</v>
      </c>
      <c r="I2274" s="597"/>
      <c r="J2274" s="323" t="s">
        <v>5249</v>
      </c>
    </row>
    <row r="2275" spans="1:10" x14ac:dyDescent="0.25">
      <c r="A2275" s="321" t="s">
        <v>5240</v>
      </c>
      <c r="B2275" s="323" t="s">
        <v>121</v>
      </c>
      <c r="C2275" s="323" t="s">
        <v>2689</v>
      </c>
      <c r="D2275" s="392" t="s">
        <v>1245</v>
      </c>
      <c r="E2275" s="387">
        <v>5993</v>
      </c>
      <c r="F2275" s="594" t="s">
        <v>5280</v>
      </c>
      <c r="G2275" s="578">
        <v>415.65</v>
      </c>
      <c r="H2275" s="597">
        <v>3925502</v>
      </c>
      <c r="I2275" s="597"/>
      <c r="J2275" s="323" t="s">
        <v>5279</v>
      </c>
    </row>
    <row r="2276" spans="1:10" x14ac:dyDescent="0.25">
      <c r="A2276" s="321" t="s">
        <v>5240</v>
      </c>
      <c r="B2276" s="323" t="s">
        <v>121</v>
      </c>
      <c r="C2276" s="323" t="s">
        <v>2689</v>
      </c>
      <c r="D2276" s="392" t="s">
        <v>1459</v>
      </c>
      <c r="E2276" s="387">
        <v>211617</v>
      </c>
      <c r="F2276" s="594" t="s">
        <v>5265</v>
      </c>
      <c r="G2276" s="578">
        <v>51</v>
      </c>
      <c r="H2276" s="597">
        <v>3933559</v>
      </c>
      <c r="I2276" s="597"/>
      <c r="J2276" s="323" t="s">
        <v>5263</v>
      </c>
    </row>
    <row r="2277" spans="1:10" x14ac:dyDescent="0.25">
      <c r="A2277" s="321" t="s">
        <v>5240</v>
      </c>
      <c r="B2277" s="323" t="s">
        <v>121</v>
      </c>
      <c r="C2277" s="323" t="s">
        <v>238</v>
      </c>
      <c r="D2277" s="392" t="s">
        <v>4577</v>
      </c>
      <c r="E2277" s="387">
        <v>213509</v>
      </c>
      <c r="F2277" s="594" t="s">
        <v>5256</v>
      </c>
      <c r="G2277" s="578">
        <v>37.64</v>
      </c>
      <c r="H2277" s="597">
        <v>3944283</v>
      </c>
      <c r="I2277" s="597"/>
      <c r="J2277" s="323" t="s">
        <v>5253</v>
      </c>
    </row>
    <row r="2278" spans="1:10" x14ac:dyDescent="0.25">
      <c r="A2278" s="321" t="s">
        <v>5240</v>
      </c>
      <c r="B2278" s="323" t="s">
        <v>121</v>
      </c>
      <c r="C2278" s="323" t="s">
        <v>238</v>
      </c>
      <c r="D2278" s="392" t="s">
        <v>4908</v>
      </c>
      <c r="E2278" s="387">
        <v>350280</v>
      </c>
      <c r="F2278" s="594" t="s">
        <v>5269</v>
      </c>
      <c r="G2278" s="578">
        <v>74.95</v>
      </c>
      <c r="H2278" s="597">
        <v>3947512</v>
      </c>
      <c r="I2278" s="597"/>
      <c r="J2278" s="323" t="s">
        <v>5268</v>
      </c>
    </row>
    <row r="2279" spans="1:10" x14ac:dyDescent="0.25">
      <c r="A2279" s="321" t="s">
        <v>5240</v>
      </c>
      <c r="B2279" s="323" t="s">
        <v>121</v>
      </c>
      <c r="C2279" s="323" t="s">
        <v>238</v>
      </c>
      <c r="D2279" s="392" t="s">
        <v>5259</v>
      </c>
      <c r="E2279" s="387">
        <v>350104</v>
      </c>
      <c r="F2279" s="594" t="s">
        <v>5260</v>
      </c>
      <c r="G2279" s="578">
        <v>39.950000000000003</v>
      </c>
      <c r="H2279" s="597">
        <v>3947589</v>
      </c>
      <c r="I2279" s="597"/>
      <c r="J2279" s="323" t="s">
        <v>5257</v>
      </c>
    </row>
    <row r="2280" spans="1:10" x14ac:dyDescent="0.25">
      <c r="A2280" s="321" t="s">
        <v>5240</v>
      </c>
      <c r="B2280" s="323" t="s">
        <v>121</v>
      </c>
      <c r="C2280" s="323" t="s">
        <v>238</v>
      </c>
      <c r="D2280" s="392" t="s">
        <v>215</v>
      </c>
      <c r="E2280" s="387">
        <v>214022</v>
      </c>
      <c r="F2280" s="594" t="s">
        <v>5261</v>
      </c>
      <c r="G2280" s="578">
        <v>43.95</v>
      </c>
      <c r="H2280" s="597">
        <v>3949858</v>
      </c>
      <c r="I2280" s="597"/>
      <c r="J2280" s="323" t="s">
        <v>5258</v>
      </c>
    </row>
    <row r="2281" spans="1:10" x14ac:dyDescent="0.25">
      <c r="A2281" s="321" t="s">
        <v>5240</v>
      </c>
      <c r="B2281" s="323" t="s">
        <v>121</v>
      </c>
      <c r="C2281" s="323" t="s">
        <v>238</v>
      </c>
      <c r="D2281" s="392" t="s">
        <v>1530</v>
      </c>
      <c r="E2281" s="387">
        <v>226214</v>
      </c>
      <c r="F2281" s="594" t="s">
        <v>5251</v>
      </c>
      <c r="G2281" s="578">
        <v>22.95</v>
      </c>
      <c r="H2281" s="597">
        <v>3952788</v>
      </c>
      <c r="I2281" s="597"/>
      <c r="J2281" s="323" t="s">
        <v>5250</v>
      </c>
    </row>
    <row r="2282" spans="1:10" x14ac:dyDescent="0.25">
      <c r="A2282" s="321" t="s">
        <v>5240</v>
      </c>
      <c r="B2282" s="323" t="s">
        <v>121</v>
      </c>
      <c r="C2282" s="323" t="s">
        <v>238</v>
      </c>
      <c r="D2282" s="392" t="s">
        <v>5254</v>
      </c>
      <c r="E2282" s="387">
        <v>350223</v>
      </c>
      <c r="F2282" s="594" t="s">
        <v>5255</v>
      </c>
      <c r="G2282" s="578">
        <v>35.799999999999997</v>
      </c>
      <c r="H2282" s="597">
        <v>3954904</v>
      </c>
      <c r="I2282" s="597"/>
      <c r="J2282" s="323" t="s">
        <v>5252</v>
      </c>
    </row>
    <row r="2283" spans="1:10" x14ac:dyDescent="0.25">
      <c r="A2283" s="321" t="s">
        <v>5240</v>
      </c>
      <c r="B2283" s="323" t="s">
        <v>121</v>
      </c>
      <c r="C2283" s="323" t="s">
        <v>238</v>
      </c>
      <c r="D2283" s="392" t="s">
        <v>2145</v>
      </c>
      <c r="E2283" s="387">
        <v>351694</v>
      </c>
      <c r="F2283" s="594" t="s">
        <v>5271</v>
      </c>
      <c r="G2283" s="578">
        <v>80.95</v>
      </c>
      <c r="H2283" s="597">
        <v>3956714</v>
      </c>
      <c r="I2283" s="597"/>
      <c r="J2283" s="323" t="s">
        <v>5270</v>
      </c>
    </row>
    <row r="2284" spans="1:10" x14ac:dyDescent="0.25">
      <c r="A2284" s="321" t="s">
        <v>5240</v>
      </c>
      <c r="B2284" s="323" t="s">
        <v>121</v>
      </c>
      <c r="C2284" s="323" t="s">
        <v>238</v>
      </c>
      <c r="D2284" s="392" t="s">
        <v>2227</v>
      </c>
      <c r="E2284" s="387">
        <v>350458</v>
      </c>
      <c r="F2284" s="594" t="s">
        <v>5264</v>
      </c>
      <c r="G2284" s="578">
        <v>48.61</v>
      </c>
      <c r="H2284" s="597">
        <v>3960504</v>
      </c>
      <c r="I2284" s="597"/>
      <c r="J2284" s="323" t="s">
        <v>5262</v>
      </c>
    </row>
    <row r="2285" spans="1:10" x14ac:dyDescent="0.25">
      <c r="A2285" s="321" t="s">
        <v>5240</v>
      </c>
      <c r="B2285" s="323" t="s">
        <v>121</v>
      </c>
      <c r="C2285" s="323" t="s">
        <v>238</v>
      </c>
      <c r="D2285" s="392" t="s">
        <v>2203</v>
      </c>
      <c r="E2285" s="387">
        <v>351758</v>
      </c>
      <c r="F2285" s="594" t="s">
        <v>5278</v>
      </c>
      <c r="G2285" s="578">
        <v>138.83000000000001</v>
      </c>
      <c r="H2285" s="597">
        <v>3965811</v>
      </c>
      <c r="I2285" s="597"/>
      <c r="J2285" s="323" t="s">
        <v>5277</v>
      </c>
    </row>
    <row r="2286" spans="1:10" x14ac:dyDescent="0.25">
      <c r="A2286" s="321" t="s">
        <v>5240</v>
      </c>
      <c r="B2286" s="323" t="s">
        <v>121</v>
      </c>
      <c r="C2286" s="323" t="s">
        <v>238</v>
      </c>
      <c r="D2286" s="392" t="s">
        <v>5273</v>
      </c>
      <c r="E2286" s="387">
        <v>352880</v>
      </c>
      <c r="F2286" s="594" t="s">
        <v>5274</v>
      </c>
      <c r="G2286" s="578">
        <v>88.44</v>
      </c>
      <c r="H2286" s="597">
        <v>3968287</v>
      </c>
      <c r="I2286" s="597"/>
      <c r="J2286" s="323" t="s">
        <v>5272</v>
      </c>
    </row>
    <row r="2287" spans="1:10" x14ac:dyDescent="0.25">
      <c r="A2287" s="321" t="s">
        <v>5240</v>
      </c>
      <c r="B2287" s="323" t="s">
        <v>121</v>
      </c>
      <c r="C2287" s="323" t="s">
        <v>238</v>
      </c>
      <c r="D2287" s="392" t="s">
        <v>2035</v>
      </c>
      <c r="E2287" s="387">
        <v>350520</v>
      </c>
      <c r="F2287" s="594" t="s">
        <v>5276</v>
      </c>
      <c r="G2287" s="578">
        <v>100.23</v>
      </c>
      <c r="H2287" s="597">
        <v>3970856</v>
      </c>
      <c r="I2287" s="597"/>
      <c r="J2287" s="323" t="s">
        <v>5275</v>
      </c>
    </row>
    <row r="2288" spans="1:10" x14ac:dyDescent="0.25">
      <c r="A2288" s="321" t="s">
        <v>5240</v>
      </c>
      <c r="B2288" s="323" t="s">
        <v>121</v>
      </c>
      <c r="C2288" s="323" t="s">
        <v>238</v>
      </c>
      <c r="D2288" s="392" t="s">
        <v>2988</v>
      </c>
      <c r="E2288" s="387">
        <v>350018</v>
      </c>
      <c r="F2288" s="594" t="s">
        <v>5267</v>
      </c>
      <c r="G2288" s="578">
        <v>66.19</v>
      </c>
      <c r="H2288" s="597">
        <v>3975898</v>
      </c>
      <c r="I2288" s="597"/>
      <c r="J2288" s="323" t="s">
        <v>5266</v>
      </c>
    </row>
    <row r="2289" spans="1:10" x14ac:dyDescent="0.25">
      <c r="A2289" s="321" t="s">
        <v>5282</v>
      </c>
      <c r="B2289" s="323" t="s">
        <v>121</v>
      </c>
      <c r="C2289" s="323" t="s">
        <v>2688</v>
      </c>
      <c r="D2289" s="392" t="s">
        <v>1459</v>
      </c>
      <c r="E2289" s="387">
        <v>211617</v>
      </c>
      <c r="F2289" s="594" t="s">
        <v>5265</v>
      </c>
      <c r="G2289" s="578">
        <v>-51</v>
      </c>
      <c r="H2289" s="597">
        <v>3933559</v>
      </c>
      <c r="I2289" s="597"/>
      <c r="J2289" s="323" t="s">
        <v>5281</v>
      </c>
    </row>
    <row r="2290" spans="1:10" x14ac:dyDescent="0.25">
      <c r="A2290" s="321" t="s">
        <v>5282</v>
      </c>
      <c r="B2290" s="323" t="s">
        <v>121</v>
      </c>
      <c r="C2290" s="323" t="s">
        <v>2688</v>
      </c>
      <c r="D2290" s="392" t="s">
        <v>1245</v>
      </c>
      <c r="E2290" s="387">
        <v>5993</v>
      </c>
      <c r="F2290" s="594" t="s">
        <v>5280</v>
      </c>
      <c r="G2290" s="578">
        <v>-415.65</v>
      </c>
      <c r="H2290" s="597">
        <v>3996950</v>
      </c>
      <c r="I2290" s="597"/>
      <c r="J2290" s="323" t="s">
        <v>5283</v>
      </c>
    </row>
    <row r="2291" spans="1:10" x14ac:dyDescent="0.25">
      <c r="A2291" s="321" t="s">
        <v>5282</v>
      </c>
      <c r="B2291" s="323" t="s">
        <v>121</v>
      </c>
      <c r="D2291" s="392" t="s">
        <v>1245</v>
      </c>
      <c r="E2291" s="387">
        <v>5993</v>
      </c>
      <c r="F2291" s="594" t="s">
        <v>5284</v>
      </c>
      <c r="G2291" s="578">
        <v>59.95</v>
      </c>
      <c r="H2291" s="597">
        <v>3925502</v>
      </c>
      <c r="I2291" s="597"/>
      <c r="J2291" s="323" t="s">
        <v>5283</v>
      </c>
    </row>
    <row r="2292" spans="1:10" x14ac:dyDescent="0.25">
      <c r="A2292" s="321" t="s">
        <v>5282</v>
      </c>
      <c r="B2292" s="323" t="s">
        <v>121</v>
      </c>
      <c r="D2292" s="392" t="s">
        <v>1392</v>
      </c>
      <c r="E2292" s="387">
        <v>226206</v>
      </c>
      <c r="F2292" s="594" t="s">
        <v>5286</v>
      </c>
      <c r="G2292" s="578">
        <f>-190.46+49.9</f>
        <v>-140.56</v>
      </c>
      <c r="H2292" s="597">
        <v>14131</v>
      </c>
      <c r="I2292" s="597"/>
      <c r="J2292" s="323" t="s">
        <v>5285</v>
      </c>
    </row>
    <row r="2293" spans="1:10" x14ac:dyDescent="0.25">
      <c r="A2293" s="321" t="s">
        <v>5282</v>
      </c>
      <c r="B2293" s="323" t="s">
        <v>121</v>
      </c>
      <c r="D2293" s="392" t="s">
        <v>1392</v>
      </c>
      <c r="E2293" s="387">
        <v>226206</v>
      </c>
      <c r="F2293" s="594">
        <v>14450</v>
      </c>
      <c r="G2293" s="578">
        <v>46.61</v>
      </c>
      <c r="H2293" s="597">
        <v>14450</v>
      </c>
      <c r="I2293" s="597"/>
      <c r="J2293" s="323" t="s">
        <v>5285</v>
      </c>
    </row>
    <row r="2294" spans="1:10" x14ac:dyDescent="0.25">
      <c r="A2294" s="321" t="s">
        <v>5282</v>
      </c>
      <c r="B2294" s="323" t="s">
        <v>121</v>
      </c>
      <c r="D2294" s="392" t="s">
        <v>2320</v>
      </c>
      <c r="E2294" s="387">
        <v>351288</v>
      </c>
      <c r="F2294" s="594">
        <v>11651</v>
      </c>
      <c r="G2294" s="578">
        <f>-77.45+10</f>
        <v>-67.45</v>
      </c>
      <c r="H2294" s="597">
        <v>11651</v>
      </c>
      <c r="I2294" s="597"/>
      <c r="J2294" s="323" t="s">
        <v>5287</v>
      </c>
    </row>
    <row r="2295" spans="1:10" x14ac:dyDescent="0.25">
      <c r="A2295" s="321" t="s">
        <v>5282</v>
      </c>
      <c r="B2295" s="323" t="s">
        <v>121</v>
      </c>
      <c r="D2295" s="392" t="s">
        <v>3659</v>
      </c>
      <c r="E2295" s="387">
        <v>350467</v>
      </c>
      <c r="F2295" s="594">
        <v>13040</v>
      </c>
      <c r="G2295" s="578">
        <f>-68.09+20.43</f>
        <v>-47.660000000000004</v>
      </c>
      <c r="H2295" s="597">
        <v>13040</v>
      </c>
      <c r="I2295" s="597"/>
      <c r="J2295" s="323" t="s">
        <v>5288</v>
      </c>
    </row>
    <row r="2296" spans="1:10" x14ac:dyDescent="0.25">
      <c r="A2296" s="321" t="s">
        <v>5282</v>
      </c>
      <c r="B2296" s="323" t="s">
        <v>121</v>
      </c>
      <c r="D2296" s="392" t="s">
        <v>5290</v>
      </c>
      <c r="E2296" s="387">
        <v>119</v>
      </c>
      <c r="F2296" s="594">
        <v>12032</v>
      </c>
      <c r="G2296" s="578">
        <f>-68.09+10</f>
        <v>-58.09</v>
      </c>
      <c r="H2296" s="597">
        <v>12032</v>
      </c>
      <c r="I2296" s="597"/>
      <c r="J2296" s="323" t="s">
        <v>5289</v>
      </c>
    </row>
    <row r="2297" spans="1:10" x14ac:dyDescent="0.25">
      <c r="A2297" s="321" t="s">
        <v>5282</v>
      </c>
      <c r="B2297" s="323" t="s">
        <v>121</v>
      </c>
      <c r="D2297" s="392" t="s">
        <v>5290</v>
      </c>
      <c r="E2297" s="387">
        <v>119</v>
      </c>
      <c r="F2297" s="594">
        <v>12026</v>
      </c>
      <c r="G2297" s="578">
        <f>-66.15+10</f>
        <v>-56.150000000000006</v>
      </c>
      <c r="H2297" s="597">
        <v>12026</v>
      </c>
      <c r="I2297" s="597"/>
      <c r="J2297" s="323" t="s">
        <v>5289</v>
      </c>
    </row>
    <row r="2298" spans="1:10" x14ac:dyDescent="0.25">
      <c r="A2298" s="321" t="s">
        <v>5282</v>
      </c>
      <c r="B2298" s="323" t="s">
        <v>121</v>
      </c>
      <c r="D2298" s="392" t="s">
        <v>2111</v>
      </c>
      <c r="E2298" s="387">
        <v>352282</v>
      </c>
      <c r="F2298" s="594">
        <v>13179</v>
      </c>
      <c r="G2298" s="578">
        <f>-30.18+6.79</f>
        <v>-23.39</v>
      </c>
      <c r="H2298" s="597">
        <v>13179</v>
      </c>
      <c r="I2298" s="597"/>
      <c r="J2298" s="323" t="s">
        <v>5291</v>
      </c>
    </row>
    <row r="2299" spans="1:10" x14ac:dyDescent="0.25">
      <c r="A2299" s="321" t="s">
        <v>5282</v>
      </c>
      <c r="B2299" s="323" t="s">
        <v>121</v>
      </c>
      <c r="D2299" s="392" t="s">
        <v>2116</v>
      </c>
      <c r="E2299" s="387">
        <v>212814</v>
      </c>
      <c r="F2299" s="594" t="s">
        <v>5293</v>
      </c>
      <c r="G2299" s="578">
        <v>58.24</v>
      </c>
      <c r="H2299" s="597">
        <v>4002489</v>
      </c>
      <c r="I2299" s="597"/>
      <c r="J2299" s="323" t="s">
        <v>5292</v>
      </c>
    </row>
    <row r="2300" spans="1:10" x14ac:dyDescent="0.25">
      <c r="A2300" s="321" t="s">
        <v>5282</v>
      </c>
      <c r="B2300" s="323" t="s">
        <v>121</v>
      </c>
      <c r="D2300" s="392" t="s">
        <v>59</v>
      </c>
      <c r="E2300" s="387">
        <v>350569</v>
      </c>
      <c r="F2300" s="594" t="s">
        <v>5295</v>
      </c>
      <c r="G2300" s="578">
        <v>90.06</v>
      </c>
      <c r="H2300" s="597">
        <v>3987493</v>
      </c>
      <c r="I2300" s="597"/>
      <c r="J2300" s="323" t="s">
        <v>5294</v>
      </c>
    </row>
    <row r="2301" spans="1:10" x14ac:dyDescent="0.25">
      <c r="A2301" s="321" t="s">
        <v>5282</v>
      </c>
      <c r="B2301" s="323" t="s">
        <v>121</v>
      </c>
      <c r="D2301" s="392" t="s">
        <v>1387</v>
      </c>
      <c r="E2301" s="387">
        <v>218377</v>
      </c>
      <c r="F2301" s="594" t="s">
        <v>5297</v>
      </c>
      <c r="G2301" s="578">
        <v>167.95</v>
      </c>
      <c r="H2301" s="597">
        <v>3982154</v>
      </c>
      <c r="I2301" s="597"/>
      <c r="J2301" s="323" t="s">
        <v>5296</v>
      </c>
    </row>
    <row r="2302" spans="1:10" x14ac:dyDescent="0.25">
      <c r="A2302" s="321" t="s">
        <v>5282</v>
      </c>
      <c r="B2302" s="323" t="s">
        <v>121</v>
      </c>
      <c r="D2302" s="392" t="s">
        <v>2071</v>
      </c>
      <c r="E2302" s="387">
        <v>351849</v>
      </c>
      <c r="F2302" s="594" t="s">
        <v>5300</v>
      </c>
      <c r="G2302" s="578">
        <v>28.9</v>
      </c>
      <c r="H2302" s="597">
        <v>4000200</v>
      </c>
      <c r="I2302" s="597"/>
      <c r="J2302" s="323" t="s">
        <v>5299</v>
      </c>
    </row>
    <row r="2303" spans="1:10" x14ac:dyDescent="0.25">
      <c r="A2303" s="321" t="s">
        <v>5282</v>
      </c>
      <c r="B2303" s="323" t="s">
        <v>121</v>
      </c>
      <c r="D2303" s="392" t="s">
        <v>5298</v>
      </c>
      <c r="E2303" s="387">
        <v>353966</v>
      </c>
      <c r="F2303" s="594"/>
      <c r="G2303" s="578">
        <v>75.23</v>
      </c>
      <c r="H2303" s="597"/>
      <c r="I2303" s="597"/>
      <c r="J2303" s="323" t="s">
        <v>2374</v>
      </c>
    </row>
    <row r="2304" spans="1:10" x14ac:dyDescent="0.25">
      <c r="A2304" s="321">
        <v>43067</v>
      </c>
      <c r="B2304" s="323" t="s">
        <v>127</v>
      </c>
      <c r="D2304" s="392" t="s">
        <v>2812</v>
      </c>
      <c r="E2304" s="387">
        <v>916</v>
      </c>
      <c r="F2304" s="594"/>
      <c r="G2304" s="578">
        <f>29.35+43.63</f>
        <v>72.98</v>
      </c>
      <c r="H2304" s="597">
        <v>3978934</v>
      </c>
      <c r="I2304" s="597"/>
      <c r="J2304" s="323" t="s">
        <v>182</v>
      </c>
    </row>
    <row r="2305" spans="1:10" x14ac:dyDescent="0.25">
      <c r="A2305" s="321">
        <v>43070</v>
      </c>
      <c r="B2305" s="323" t="s">
        <v>127</v>
      </c>
      <c r="D2305" s="392" t="s">
        <v>3945</v>
      </c>
      <c r="E2305" s="387">
        <v>352914</v>
      </c>
      <c r="F2305" s="594"/>
      <c r="G2305" s="578">
        <v>44.38</v>
      </c>
      <c r="H2305" s="597">
        <v>3899963</v>
      </c>
      <c r="I2305" s="597"/>
      <c r="J2305" s="323" t="s">
        <v>179</v>
      </c>
    </row>
    <row r="2306" spans="1:10" x14ac:dyDescent="0.25">
      <c r="A2306" s="321">
        <v>43071</v>
      </c>
      <c r="B2306" s="323" t="s">
        <v>127</v>
      </c>
      <c r="D2306" s="392" t="s">
        <v>1270</v>
      </c>
      <c r="E2306" s="387">
        <v>216262</v>
      </c>
      <c r="F2306" s="594"/>
      <c r="G2306" s="578">
        <f>7.99+22.66</f>
        <v>30.65</v>
      </c>
      <c r="H2306" s="597">
        <v>3809780</v>
      </c>
      <c r="I2306" s="597"/>
      <c r="J2306" s="323" t="s">
        <v>179</v>
      </c>
    </row>
    <row r="2307" spans="1:10" x14ac:dyDescent="0.25">
      <c r="A2307" s="321" t="s">
        <v>5301</v>
      </c>
      <c r="B2307" s="323" t="s">
        <v>127</v>
      </c>
      <c r="D2307" s="392" t="s">
        <v>2225</v>
      </c>
      <c r="E2307" s="387">
        <v>215404</v>
      </c>
      <c r="F2307" s="594"/>
      <c r="G2307" s="578">
        <f>10+28.95</f>
        <v>38.950000000000003</v>
      </c>
      <c r="H2307" s="597">
        <v>3660448</v>
      </c>
      <c r="I2307" s="597"/>
      <c r="J2307" s="323" t="s">
        <v>5302</v>
      </c>
    </row>
    <row r="2308" spans="1:10" x14ac:dyDescent="0.25">
      <c r="A2308" s="321">
        <v>43026</v>
      </c>
      <c r="B2308" s="323" t="s">
        <v>127</v>
      </c>
      <c r="D2308" s="392" t="s">
        <v>2130</v>
      </c>
      <c r="E2308" s="387">
        <v>214122</v>
      </c>
      <c r="F2308" s="594"/>
      <c r="G2308" s="578">
        <f>57.2+10</f>
        <v>67.2</v>
      </c>
      <c r="H2308" s="597">
        <v>3806772</v>
      </c>
      <c r="I2308" s="597"/>
      <c r="J2308" s="323" t="s">
        <v>5303</v>
      </c>
    </row>
  </sheetData>
  <sortState ref="A2275:S2288">
    <sortCondition ref="H2275:H2288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 Transactions</vt:lpstr>
      <vt:lpstr>Voided Transactions</vt:lpstr>
      <vt:lpstr>2016 Summary</vt:lpstr>
      <vt:lpstr>2017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Jones</dc:creator>
  <cp:lastModifiedBy>croberts</cp:lastModifiedBy>
  <dcterms:created xsi:type="dcterms:W3CDTF">2016-12-07T15:51:33Z</dcterms:created>
  <dcterms:modified xsi:type="dcterms:W3CDTF">2017-12-11T19:23:49Z</dcterms:modified>
</cp:coreProperties>
</file>