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se\Desktop\Test Scripts\Data\"/>
    </mc:Choice>
  </mc:AlternateContent>
  <xr:revisionPtr revIDLastSave="0" documentId="8_{FC790A28-8B0C-44FC-90F2-B02CABECA65B}" xr6:coauthVersionLast="47" xr6:coauthVersionMax="47" xr10:uidLastSave="{00000000-0000-0000-0000-000000000000}"/>
  <bookViews>
    <workbookView xWindow="18940" yWindow="10690" windowWidth="19420" windowHeight="10300" tabRatio="349" xr2:uid="{62D7020F-E415-064A-B897-C79FF532B0F9}"/>
  </bookViews>
  <sheets>
    <sheet name="Finished_Jobs" sheetId="1" r:id="rId1"/>
    <sheet name="In_Progress_Jobs" sheetId="2" r:id="rId2"/>
    <sheet name="Report" sheetId="3" r:id="rId3"/>
  </sheets>
  <definedNames>
    <definedName name="_xlchart.v1.0" hidden="1">Finished_Jobs!$AA$2:$AA$229</definedName>
    <definedName name="_xlchart.v1.1" hidden="1">Finished_Jobs!$C$2:$C$229</definedName>
    <definedName name="_xlchart.v1.2" hidden="1">Finished_Jobs!$AA$1</definedName>
    <definedName name="_xlchart.v1.3" hidden="1">Finished_Jobs!$AA$2:$AA$367</definedName>
    <definedName name="_xlchart.v1.4" hidden="1">Finished_Jobs!$AA$2:$AA$100</definedName>
    <definedName name="_xlchart.v1.5" hidden="1">Finished_Jobs!$B$2:$B$100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5" i="1" l="1"/>
  <c r="Z455" i="1"/>
  <c r="AA455" i="1"/>
  <c r="Y453" i="1"/>
  <c r="Y454" i="1"/>
  <c r="Z453" i="1"/>
  <c r="Z454" i="1"/>
  <c r="AA453" i="1"/>
  <c r="AA454" i="1"/>
  <c r="F454" i="1"/>
  <c r="F452" i="1"/>
  <c r="Y452" i="1"/>
  <c r="Z452" i="1"/>
  <c r="AA452" i="1"/>
  <c r="F447" i="1"/>
  <c r="Y447" i="1"/>
  <c r="Y448" i="1"/>
  <c r="Y449" i="1"/>
  <c r="Y450" i="1"/>
  <c r="F451" i="1"/>
  <c r="Y451" i="1"/>
  <c r="Z447" i="1"/>
  <c r="Z448" i="1"/>
  <c r="Z449" i="1"/>
  <c r="Z450" i="1"/>
  <c r="Z451" i="1"/>
  <c r="AA447" i="1"/>
  <c r="AA448" i="1"/>
  <c r="AA449" i="1"/>
  <c r="AA450" i="1"/>
  <c r="AA451" i="1"/>
  <c r="F17" i="2"/>
  <c r="F16" i="2"/>
  <c r="E444" i="1"/>
  <c r="F446" i="1"/>
  <c r="Y446" i="1"/>
  <c r="Z446" i="1"/>
  <c r="AA446" i="1"/>
  <c r="G415" i="1"/>
  <c r="G10" i="2"/>
  <c r="G13" i="2"/>
  <c r="G443" i="1"/>
  <c r="F443" i="1"/>
  <c r="Y443" i="1"/>
  <c r="Y444" i="1"/>
  <c r="Y445" i="1"/>
  <c r="Z443" i="1"/>
  <c r="Z444" i="1"/>
  <c r="Z445" i="1"/>
  <c r="AA443" i="1"/>
  <c r="AA444" i="1"/>
  <c r="AA445" i="1"/>
  <c r="F13" i="2"/>
  <c r="F415" i="1"/>
  <c r="Y442" i="1"/>
  <c r="Z442" i="1"/>
  <c r="AA442" i="1"/>
  <c r="G436" i="1"/>
  <c r="Y441" i="1"/>
  <c r="Z441" i="1"/>
  <c r="AA441" i="1"/>
  <c r="F440" i="1"/>
  <c r="Y440" i="1"/>
  <c r="Z440" i="1"/>
  <c r="AA440" i="1"/>
  <c r="Y437" i="1"/>
  <c r="Y438" i="1"/>
  <c r="F439" i="1"/>
  <c r="Y439" i="1"/>
  <c r="Z437" i="1"/>
  <c r="Z438" i="1"/>
  <c r="Z439" i="1"/>
  <c r="AA437" i="1"/>
  <c r="AA438" i="1"/>
  <c r="AA439" i="1"/>
  <c r="F436" i="1"/>
  <c r="Y436" i="1"/>
  <c r="Z436" i="1"/>
  <c r="AA436" i="1"/>
  <c r="E366" i="1"/>
  <c r="F366" i="1"/>
  <c r="F434" i="1"/>
  <c r="Y434" i="1"/>
  <c r="Y435" i="1"/>
  <c r="Z434" i="1"/>
  <c r="Z435" i="1"/>
  <c r="AA434" i="1"/>
  <c r="AA435" i="1"/>
  <c r="Y432" i="1"/>
  <c r="Y433" i="1"/>
  <c r="Z432" i="1"/>
  <c r="Z433" i="1"/>
  <c r="AA432" i="1"/>
  <c r="AA433" i="1"/>
  <c r="G428" i="1"/>
  <c r="Y431" i="1"/>
  <c r="Z431" i="1"/>
  <c r="AA431" i="1"/>
  <c r="Y430" i="1"/>
  <c r="Z430" i="1"/>
  <c r="AA430" i="1"/>
  <c r="Y429" i="1"/>
  <c r="Z429" i="1"/>
  <c r="AA429" i="1"/>
  <c r="Y428" i="1"/>
  <c r="Z428" i="1"/>
  <c r="AA428" i="1"/>
  <c r="Y427" i="1"/>
  <c r="Z427" i="1"/>
  <c r="AA427" i="1"/>
  <c r="G424" i="1"/>
  <c r="G425" i="1"/>
  <c r="Y426" i="1"/>
  <c r="Z426" i="1"/>
  <c r="AA426" i="1"/>
  <c r="F424" i="1"/>
  <c r="Y425" i="1"/>
  <c r="Z425" i="1"/>
  <c r="AA425" i="1"/>
  <c r="Y424" i="1"/>
  <c r="Z424" i="1"/>
  <c r="AA424" i="1"/>
  <c r="F423" i="1"/>
  <c r="Y423" i="1"/>
  <c r="Z423" i="1"/>
  <c r="AA423" i="1"/>
  <c r="F420" i="1"/>
  <c r="Y420" i="1"/>
  <c r="F421" i="1"/>
  <c r="Y421" i="1"/>
  <c r="Y422" i="1"/>
  <c r="Z420" i="1"/>
  <c r="Z421" i="1"/>
  <c r="Z422" i="1"/>
  <c r="AA420" i="1"/>
  <c r="AA421" i="1"/>
  <c r="AA422" i="1"/>
  <c r="Y419" i="1"/>
  <c r="Z419" i="1"/>
  <c r="AA419" i="1"/>
  <c r="Y418" i="1"/>
  <c r="Z418" i="1"/>
  <c r="AA418" i="1"/>
  <c r="F416" i="1"/>
  <c r="Y416" i="1"/>
  <c r="Y417" i="1"/>
  <c r="Y415" i="1"/>
  <c r="Z415" i="1"/>
  <c r="Z416" i="1"/>
  <c r="Z417" i="1"/>
  <c r="AA416" i="1"/>
  <c r="AA417" i="1"/>
  <c r="AA415" i="1"/>
  <c r="G410" i="1"/>
  <c r="Y413" i="1"/>
  <c r="Y414" i="1"/>
  <c r="Z413" i="1"/>
  <c r="Z414" i="1"/>
  <c r="AA414" i="1"/>
  <c r="F412" i="1"/>
  <c r="Y412" i="1"/>
  <c r="Z412" i="1"/>
  <c r="AA413" i="1"/>
  <c r="F409" i="1"/>
  <c r="AA412" i="1"/>
  <c r="F410" i="1"/>
  <c r="Y410" i="1"/>
  <c r="F411" i="1"/>
  <c r="Y411" i="1"/>
  <c r="Z410" i="1"/>
  <c r="Z411" i="1"/>
  <c r="AA410" i="1"/>
  <c r="AA411" i="1"/>
  <c r="Y409" i="1"/>
  <c r="Z409" i="1"/>
  <c r="AA409" i="1"/>
  <c r="F10" i="2"/>
  <c r="F408" i="1"/>
  <c r="Y408" i="1"/>
  <c r="Z408" i="1"/>
  <c r="AA408" i="1"/>
  <c r="G407" i="1"/>
  <c r="F407" i="1"/>
  <c r="Y407" i="1"/>
  <c r="Z407" i="1"/>
  <c r="AA407" i="1"/>
  <c r="G406" i="1"/>
  <c r="G404" i="1"/>
  <c r="F11" i="2"/>
  <c r="F406" i="1"/>
  <c r="Y406" i="1"/>
  <c r="Z406" i="1"/>
  <c r="AA406" i="1"/>
  <c r="F405" i="1"/>
  <c r="Y405" i="1"/>
  <c r="Z405" i="1"/>
  <c r="AA405" i="1"/>
  <c r="F404" i="1"/>
  <c r="Y404" i="1"/>
  <c r="Z404" i="1"/>
  <c r="AA404" i="1"/>
  <c r="G403" i="1"/>
  <c r="G400" i="1"/>
  <c r="G392" i="1"/>
  <c r="G402" i="1"/>
  <c r="F400" i="1"/>
  <c r="Y400" i="1"/>
  <c r="F401" i="1"/>
  <c r="Y401" i="1"/>
  <c r="F402" i="1"/>
  <c r="Y402" i="1"/>
  <c r="Y403" i="1"/>
  <c r="Z400" i="1"/>
  <c r="Z401" i="1"/>
  <c r="Z402" i="1"/>
  <c r="Z403" i="1"/>
  <c r="AA400" i="1"/>
  <c r="AA401" i="1"/>
  <c r="AA402" i="1"/>
  <c r="AA403" i="1"/>
  <c r="Y399" i="1"/>
  <c r="Z399" i="1"/>
  <c r="AA399" i="1"/>
  <c r="G396" i="1"/>
  <c r="F396" i="1"/>
  <c r="Y396" i="1"/>
  <c r="Y397" i="1"/>
  <c r="Y398" i="1"/>
  <c r="Z396" i="1"/>
  <c r="Z397" i="1"/>
  <c r="Z398" i="1"/>
  <c r="AA396" i="1"/>
  <c r="AA397" i="1"/>
  <c r="AA398" i="1"/>
  <c r="G394" i="1"/>
  <c r="Y395" i="1"/>
  <c r="Z395" i="1"/>
  <c r="AA395" i="1"/>
  <c r="Y394" i="1"/>
  <c r="Z394" i="1"/>
  <c r="AA394" i="1"/>
  <c r="Y393" i="1"/>
  <c r="Z393" i="1"/>
  <c r="AA393" i="1"/>
  <c r="Y390" i="1"/>
  <c r="Y391" i="1"/>
  <c r="F392" i="1"/>
  <c r="Y392" i="1"/>
  <c r="Z390" i="1"/>
  <c r="Z391" i="1"/>
  <c r="Z392" i="1"/>
  <c r="AA390" i="1"/>
  <c r="AA391" i="1"/>
  <c r="AA392" i="1"/>
  <c r="G389" i="1"/>
  <c r="F389" i="1"/>
  <c r="Y389" i="1"/>
  <c r="Z389" i="1"/>
  <c r="AA389" i="1"/>
  <c r="Y387" i="1"/>
  <c r="F388" i="1"/>
  <c r="Y388" i="1"/>
  <c r="Z387" i="1"/>
  <c r="Z388" i="1"/>
  <c r="AA387" i="1"/>
  <c r="AA388" i="1"/>
  <c r="F375" i="1"/>
  <c r="F386" i="1"/>
  <c r="Y386" i="1"/>
  <c r="Z386" i="1"/>
  <c r="AA386" i="1"/>
  <c r="F385" i="1"/>
  <c r="Y385" i="1"/>
  <c r="Z385" i="1"/>
  <c r="AA385" i="1"/>
  <c r="Y380" i="1"/>
  <c r="F381" i="1"/>
  <c r="Y381" i="1"/>
  <c r="Y382" i="1"/>
  <c r="G383" i="1"/>
  <c r="F383" i="1"/>
  <c r="Y383" i="1"/>
  <c r="G384" i="1"/>
  <c r="F384" i="1"/>
  <c r="Y384" i="1"/>
  <c r="Z380" i="1"/>
  <c r="Z381" i="1"/>
  <c r="Z382" i="1"/>
  <c r="Z383" i="1"/>
  <c r="Z384" i="1"/>
  <c r="AA380" i="1"/>
  <c r="AA381" i="1"/>
  <c r="AA382" i="1"/>
  <c r="AA383" i="1"/>
  <c r="AA384" i="1"/>
  <c r="G379" i="1"/>
  <c r="Y379" i="1"/>
  <c r="Z379" i="1"/>
  <c r="AA379" i="1"/>
  <c r="Y378" i="1"/>
  <c r="Z378" i="1"/>
  <c r="AA378" i="1"/>
  <c r="G372" i="1"/>
  <c r="G374" i="1"/>
  <c r="G373" i="1"/>
  <c r="F377" i="1"/>
  <c r="Y377" i="1"/>
  <c r="Z377" i="1"/>
  <c r="AA377" i="1"/>
  <c r="F374" i="1"/>
  <c r="Y373" i="1"/>
  <c r="Y374" i="1"/>
  <c r="Y375" i="1"/>
  <c r="Y376" i="1"/>
  <c r="Z373" i="1"/>
  <c r="Z374" i="1"/>
  <c r="Z375" i="1"/>
  <c r="Z376" i="1"/>
  <c r="AA373" i="1"/>
  <c r="AA374" i="1"/>
  <c r="AA375" i="1"/>
  <c r="AA376" i="1"/>
  <c r="F372" i="1"/>
  <c r="Y372" i="1"/>
  <c r="Z372" i="1"/>
  <c r="AA372" i="1"/>
  <c r="G371" i="1"/>
  <c r="F371" i="1"/>
  <c r="Y371" i="1"/>
  <c r="Z371" i="1"/>
  <c r="AA371" i="1"/>
  <c r="F7" i="2"/>
  <c r="G368" i="1"/>
  <c r="G369" i="1"/>
  <c r="G364" i="1"/>
  <c r="E364" i="1"/>
  <c r="Y370" i="1"/>
  <c r="Z370" i="1"/>
  <c r="AA370" i="1"/>
  <c r="Y369" i="1"/>
  <c r="Z369" i="1"/>
  <c r="AA369" i="1"/>
  <c r="F368" i="1"/>
  <c r="Y368" i="1"/>
  <c r="Z368" i="1"/>
  <c r="AA368" i="1"/>
  <c r="Y363" i="1"/>
  <c r="F364" i="1"/>
  <c r="Y364" i="1"/>
  <c r="Y365" i="1"/>
  <c r="G366" i="1"/>
  <c r="Y366" i="1"/>
  <c r="G367" i="1"/>
  <c r="F367" i="1"/>
  <c r="Y367" i="1"/>
  <c r="Z363" i="1"/>
  <c r="Z364" i="1"/>
  <c r="Z365" i="1"/>
  <c r="Z366" i="1"/>
  <c r="Z367" i="1"/>
  <c r="AA363" i="1"/>
  <c r="AA364" i="1"/>
  <c r="AA365" i="1"/>
  <c r="AA366" i="1"/>
  <c r="AA367" i="1"/>
  <c r="G362" i="1"/>
  <c r="G359" i="1"/>
  <c r="G361" i="1"/>
  <c r="G360" i="1"/>
  <c r="F362" i="1"/>
  <c r="Y362" i="1"/>
  <c r="Z362" i="1"/>
  <c r="AA362" i="1"/>
  <c r="F361" i="1"/>
  <c r="Y361" i="1"/>
  <c r="Z361" i="1"/>
  <c r="AA361" i="1"/>
  <c r="F360" i="1"/>
  <c r="Y360" i="1"/>
  <c r="Z360" i="1"/>
  <c r="AA360" i="1"/>
  <c r="F359" i="1"/>
  <c r="Y359" i="1"/>
  <c r="Z359" i="1"/>
  <c r="AA359" i="1"/>
  <c r="Y358" i="1"/>
  <c r="Z358" i="1"/>
  <c r="AA358" i="1"/>
  <c r="F357" i="1"/>
  <c r="Y357" i="1"/>
  <c r="Z357" i="1"/>
  <c r="AA357" i="1"/>
  <c r="Y356" i="1"/>
  <c r="Z356" i="1"/>
  <c r="AA356" i="1"/>
  <c r="G355" i="1"/>
  <c r="F355" i="1"/>
  <c r="Y355" i="1"/>
  <c r="Z355" i="1"/>
  <c r="AA355" i="1"/>
  <c r="Y354" i="1"/>
  <c r="Z354" i="1"/>
  <c r="AA354" i="1"/>
  <c r="G353" i="1"/>
  <c r="G351" i="1"/>
  <c r="F353" i="1"/>
  <c r="Y353" i="1"/>
  <c r="Z353" i="1"/>
  <c r="AA353" i="1"/>
  <c r="G352" i="1"/>
  <c r="Y352" i="1"/>
  <c r="Z352" i="1"/>
  <c r="AA352" i="1"/>
  <c r="F351" i="1"/>
  <c r="Y351" i="1"/>
  <c r="Z351" i="1"/>
  <c r="AA351" i="1"/>
  <c r="Y347" i="1"/>
  <c r="Y348" i="1"/>
  <c r="Z347" i="1"/>
  <c r="AA347" i="1"/>
  <c r="Z348" i="1"/>
  <c r="AA348" i="1"/>
  <c r="E350" i="1"/>
  <c r="F350" i="1"/>
  <c r="G350" i="1"/>
  <c r="Y350" i="1"/>
  <c r="Z350" i="1"/>
  <c r="AA350" i="1"/>
  <c r="F349" i="1"/>
  <c r="Y349" i="1"/>
  <c r="Z349" i="1"/>
  <c r="AA349" i="1"/>
  <c r="G346" i="1"/>
  <c r="G345" i="1"/>
  <c r="Y346" i="1"/>
  <c r="Z346" i="1"/>
  <c r="AA346" i="1"/>
  <c r="F345" i="1"/>
  <c r="Y345" i="1"/>
  <c r="Z345" i="1"/>
  <c r="AA345" i="1"/>
  <c r="G343" i="1"/>
  <c r="G342" i="1"/>
  <c r="G341" i="1"/>
  <c r="G344" i="1"/>
  <c r="F344" i="1"/>
  <c r="F343" i="1"/>
  <c r="F342" i="1"/>
  <c r="Y344" i="1"/>
  <c r="Z344" i="1"/>
  <c r="AA344" i="1"/>
  <c r="Y343" i="1"/>
  <c r="Z343" i="1"/>
  <c r="AA343" i="1"/>
  <c r="Y342" i="1"/>
  <c r="Z342" i="1"/>
  <c r="AA342" i="1"/>
  <c r="G4" i="2"/>
  <c r="F341" i="1"/>
  <c r="G288" i="1"/>
  <c r="F303" i="1"/>
  <c r="Y339" i="1"/>
  <c r="Z339" i="1"/>
  <c r="AA339" i="1"/>
  <c r="Y340" i="1"/>
  <c r="Z340" i="1"/>
  <c r="AA340" i="1"/>
  <c r="Y341" i="1"/>
  <c r="Z341" i="1"/>
  <c r="AA341" i="1"/>
  <c r="Y336" i="1"/>
  <c r="Z336" i="1"/>
  <c r="AA336" i="1"/>
  <c r="F338" i="1"/>
  <c r="G338" i="1"/>
  <c r="Y338" i="1"/>
  <c r="Z338" i="1"/>
  <c r="AA338" i="1"/>
  <c r="F337" i="1"/>
  <c r="G337" i="1"/>
  <c r="Y337" i="1"/>
  <c r="Z337" i="1"/>
  <c r="AA337" i="1"/>
  <c r="G335" i="1"/>
  <c r="F4" i="2"/>
  <c r="Y334" i="1"/>
  <c r="Z334" i="1"/>
  <c r="AA334" i="1"/>
  <c r="F335" i="1"/>
  <c r="G331" i="1"/>
  <c r="Y333" i="1"/>
  <c r="Z333" i="1"/>
  <c r="AA333" i="1"/>
  <c r="G332" i="1"/>
  <c r="G329" i="1"/>
  <c r="G322" i="1"/>
  <c r="Y322" i="1"/>
  <c r="Z322" i="1"/>
  <c r="AA322" i="1"/>
  <c r="F332" i="1"/>
  <c r="F331" i="1"/>
  <c r="Y330" i="1"/>
  <c r="Z330" i="1"/>
  <c r="AA330" i="1"/>
  <c r="F329" i="1"/>
  <c r="G327" i="1"/>
  <c r="G323" i="1"/>
  <c r="Y323" i="1"/>
  <c r="Z323" i="1"/>
  <c r="AA323" i="1"/>
  <c r="G324" i="1"/>
  <c r="Y324" i="1"/>
  <c r="Z324" i="1"/>
  <c r="AA324" i="1"/>
  <c r="Y328" i="1"/>
  <c r="Z328" i="1"/>
  <c r="AA328" i="1"/>
  <c r="Y326" i="1"/>
  <c r="Z326" i="1"/>
  <c r="AA326" i="1"/>
  <c r="F327" i="1"/>
  <c r="F325" i="1"/>
  <c r="Y325" i="1"/>
  <c r="Z325" i="1"/>
  <c r="AA325" i="1"/>
  <c r="Y335" i="1"/>
  <c r="Z335" i="1"/>
  <c r="AA335" i="1"/>
  <c r="Y331" i="1"/>
  <c r="Z331" i="1"/>
  <c r="AA331" i="1"/>
  <c r="Y329" i="1"/>
  <c r="Z329" i="1"/>
  <c r="AA329" i="1"/>
  <c r="Y332" i="1"/>
  <c r="Z332" i="1"/>
  <c r="AA332" i="1"/>
  <c r="Y327" i="1"/>
  <c r="Z327" i="1"/>
  <c r="AA327" i="1"/>
  <c r="F314" i="1"/>
  <c r="G314" i="1"/>
  <c r="G318" i="1"/>
  <c r="G319" i="1"/>
  <c r="G320" i="1"/>
  <c r="Y320" i="1"/>
  <c r="Z320" i="1"/>
  <c r="AA320" i="1"/>
  <c r="F321" i="1"/>
  <c r="Y321" i="1"/>
  <c r="Z321" i="1"/>
  <c r="AA321" i="1"/>
  <c r="F319" i="1"/>
  <c r="F318" i="1"/>
  <c r="G316" i="1"/>
  <c r="G3" i="2"/>
  <c r="G315" i="1"/>
  <c r="F317" i="1"/>
  <c r="Y317" i="1"/>
  <c r="Z317" i="1"/>
  <c r="AA317" i="1"/>
  <c r="F316" i="1"/>
  <c r="F315" i="1"/>
  <c r="Y313" i="1"/>
  <c r="Z313" i="1"/>
  <c r="AA313" i="1"/>
  <c r="Y311" i="1"/>
  <c r="Z311" i="1"/>
  <c r="AA311" i="1"/>
  <c r="Y312" i="1"/>
  <c r="Z312" i="1"/>
  <c r="AA312" i="1"/>
  <c r="F310" i="1"/>
  <c r="Y310" i="1"/>
  <c r="Z310" i="1"/>
  <c r="AA310" i="1"/>
  <c r="Y299" i="1"/>
  <c r="Z299" i="1"/>
  <c r="AA299" i="1"/>
  <c r="Y301" i="1"/>
  <c r="Z301" i="1"/>
  <c r="AA301" i="1"/>
  <c r="Y303" i="1"/>
  <c r="Z303" i="1"/>
  <c r="AA303" i="1"/>
  <c r="Y306" i="1"/>
  <c r="Z306" i="1"/>
  <c r="AA306" i="1"/>
  <c r="G309" i="1"/>
  <c r="Y309" i="1"/>
  <c r="Z309" i="1"/>
  <c r="AA309" i="1"/>
  <c r="F308" i="1"/>
  <c r="G308" i="1"/>
  <c r="F307" i="1"/>
  <c r="G307" i="1"/>
  <c r="G305" i="1"/>
  <c r="Y305" i="1"/>
  <c r="Z305" i="1"/>
  <c r="AA305" i="1"/>
  <c r="G304" i="1"/>
  <c r="Y304" i="1"/>
  <c r="Z304" i="1"/>
  <c r="AA304" i="1"/>
  <c r="F302" i="1"/>
  <c r="Y302" i="1"/>
  <c r="Z302" i="1"/>
  <c r="AA302" i="1"/>
  <c r="G300" i="1"/>
  <c r="Y300" i="1"/>
  <c r="Z300" i="1"/>
  <c r="AA300" i="1"/>
  <c r="Y298" i="1"/>
  <c r="Z298" i="1"/>
  <c r="AA298" i="1"/>
  <c r="Y297" i="1"/>
  <c r="Z297" i="1"/>
  <c r="AA297" i="1"/>
  <c r="Y296" i="1"/>
  <c r="Z296" i="1"/>
  <c r="AA296" i="1"/>
  <c r="F295" i="1"/>
  <c r="Y295" i="1"/>
  <c r="Z295" i="1"/>
  <c r="AA295" i="1"/>
  <c r="G294" i="1"/>
  <c r="F294" i="1"/>
  <c r="Y293" i="1"/>
  <c r="Z293" i="1"/>
  <c r="AA293" i="1"/>
  <c r="Y292" i="1"/>
  <c r="Z292" i="1"/>
  <c r="AA292" i="1"/>
  <c r="F291" i="1"/>
  <c r="Y291" i="1"/>
  <c r="Z291" i="1"/>
  <c r="AA291" i="1"/>
  <c r="Y290" i="1"/>
  <c r="Z290" i="1"/>
  <c r="AA290" i="1"/>
  <c r="Y289" i="1"/>
  <c r="Z289" i="1"/>
  <c r="AA289" i="1"/>
  <c r="G287" i="1"/>
  <c r="Y287" i="1"/>
  <c r="Z287" i="1"/>
  <c r="AA287" i="1"/>
  <c r="F288" i="1"/>
  <c r="Y288" i="1"/>
  <c r="Z288" i="1"/>
  <c r="AA288" i="1"/>
  <c r="Y286" i="1"/>
  <c r="Z286" i="1"/>
  <c r="AA286" i="1"/>
  <c r="Y284" i="1"/>
  <c r="Z284" i="1"/>
  <c r="AA284" i="1"/>
  <c r="Y285" i="1"/>
  <c r="Z285" i="1"/>
  <c r="AA285" i="1"/>
  <c r="Y283" i="1"/>
  <c r="Z283" i="1"/>
  <c r="AA283" i="1"/>
  <c r="F282" i="1"/>
  <c r="Y282" i="1"/>
  <c r="Z282" i="1"/>
  <c r="AA282" i="1"/>
  <c r="G281" i="1"/>
  <c r="G278" i="1"/>
  <c r="F281" i="1"/>
  <c r="Y280" i="1"/>
  <c r="Z280" i="1"/>
  <c r="AA280" i="1"/>
  <c r="Y279" i="1"/>
  <c r="Z279" i="1"/>
  <c r="AA279" i="1"/>
  <c r="F278" i="1"/>
  <c r="F277" i="1"/>
  <c r="Y277" i="1"/>
  <c r="Z277" i="1"/>
  <c r="AA277" i="1"/>
  <c r="Y276" i="1"/>
  <c r="Z276" i="1"/>
  <c r="AA276" i="1"/>
  <c r="Y275" i="1"/>
  <c r="Z275" i="1"/>
  <c r="AA275" i="1"/>
  <c r="G274" i="1"/>
  <c r="Y274" i="1"/>
  <c r="Z274" i="1"/>
  <c r="AA274" i="1"/>
  <c r="Y273" i="1"/>
  <c r="Z273" i="1"/>
  <c r="AA273" i="1"/>
  <c r="Y272" i="1"/>
  <c r="Z272" i="1"/>
  <c r="AA272" i="1"/>
  <c r="Y271" i="1"/>
  <c r="Z271" i="1"/>
  <c r="AA271" i="1"/>
  <c r="F3" i="2"/>
  <c r="F270" i="1"/>
  <c r="Y270" i="1"/>
  <c r="Z270" i="1"/>
  <c r="AA270" i="1"/>
  <c r="G264" i="1"/>
  <c r="Y264" i="1"/>
  <c r="Z264" i="1"/>
  <c r="AA264" i="1"/>
  <c r="Y269" i="1"/>
  <c r="Z269" i="1"/>
  <c r="AA269" i="1"/>
  <c r="Y268" i="1"/>
  <c r="Z268" i="1"/>
  <c r="AA268" i="1"/>
  <c r="F267" i="1"/>
  <c r="Y267" i="1"/>
  <c r="Z267" i="1"/>
  <c r="AA267" i="1"/>
  <c r="F266" i="1"/>
  <c r="Y266" i="1"/>
  <c r="Z266" i="1"/>
  <c r="AA266" i="1"/>
  <c r="F265" i="1"/>
  <c r="Y265" i="1"/>
  <c r="Z265" i="1"/>
  <c r="AA265" i="1"/>
  <c r="F263" i="1"/>
  <c r="Y263" i="1"/>
  <c r="Z263" i="1"/>
  <c r="AA263" i="1"/>
  <c r="Y262" i="1"/>
  <c r="Z262" i="1"/>
  <c r="AA262" i="1"/>
  <c r="G244" i="1"/>
  <c r="G257" i="1"/>
  <c r="Y261" i="1"/>
  <c r="Z261" i="1"/>
  <c r="AA261" i="1"/>
  <c r="Y260" i="1"/>
  <c r="Z260" i="1"/>
  <c r="F259" i="1"/>
  <c r="Y259" i="1"/>
  <c r="Z259" i="1"/>
  <c r="AA259" i="1"/>
  <c r="Y258" i="1"/>
  <c r="Z258" i="1"/>
  <c r="AA258" i="1"/>
  <c r="F257" i="1"/>
  <c r="Y256" i="1"/>
  <c r="Z256" i="1"/>
  <c r="AA256" i="1"/>
  <c r="Y255" i="1"/>
  <c r="Z255" i="1"/>
  <c r="AA255" i="1"/>
  <c r="G249" i="1"/>
  <c r="Y254" i="1"/>
  <c r="Z254" i="1"/>
  <c r="AA254" i="1"/>
  <c r="Y253" i="1"/>
  <c r="Z253" i="1"/>
  <c r="AA253" i="1"/>
  <c r="G2" i="2"/>
  <c r="Y252" i="1"/>
  <c r="Z252" i="1"/>
  <c r="AA252" i="1"/>
  <c r="F251" i="1"/>
  <c r="Y251" i="1"/>
  <c r="Z251" i="1"/>
  <c r="AA251" i="1"/>
  <c r="G247" i="1"/>
  <c r="F250" i="1"/>
  <c r="Y250" i="1"/>
  <c r="Z250" i="1"/>
  <c r="AA250" i="1"/>
  <c r="F249" i="1"/>
  <c r="F248" i="1"/>
  <c r="Y248" i="1"/>
  <c r="Z248" i="1"/>
  <c r="AA248" i="1"/>
  <c r="F2" i="2"/>
  <c r="F247" i="1"/>
  <c r="F246" i="1"/>
  <c r="Y246" i="1"/>
  <c r="Z246" i="1"/>
  <c r="AA246" i="1"/>
  <c r="F242" i="1"/>
  <c r="Y242" i="1"/>
  <c r="Z242" i="1"/>
  <c r="AA242" i="1"/>
  <c r="F243" i="1"/>
  <c r="Y243" i="1"/>
  <c r="Z243" i="1"/>
  <c r="AA243" i="1"/>
  <c r="F244" i="1"/>
  <c r="F245" i="1"/>
  <c r="Y245" i="1"/>
  <c r="Z245" i="1"/>
  <c r="AA245" i="1"/>
  <c r="Y241" i="1"/>
  <c r="Z241" i="1"/>
  <c r="AA241" i="1"/>
  <c r="Y240" i="1"/>
  <c r="Z240" i="1"/>
  <c r="AA240" i="1"/>
  <c r="G239" i="1"/>
  <c r="Y239" i="1"/>
  <c r="Z239" i="1"/>
  <c r="AA239" i="1"/>
  <c r="Y238" i="1"/>
  <c r="Z238" i="1"/>
  <c r="AA238" i="1"/>
  <c r="F237" i="1"/>
  <c r="Y237" i="1"/>
  <c r="Z237" i="1"/>
  <c r="AA237" i="1"/>
  <c r="F234" i="1"/>
  <c r="Y234" i="1"/>
  <c r="Z234" i="1"/>
  <c r="AA234" i="1"/>
  <c r="Y235" i="1"/>
  <c r="Z235" i="1"/>
  <c r="AA235" i="1"/>
  <c r="G236" i="1"/>
  <c r="Y236" i="1"/>
  <c r="Z236" i="1"/>
  <c r="AA236" i="1"/>
  <c r="Y233" i="1"/>
  <c r="Z233" i="1"/>
  <c r="AA233" i="1"/>
  <c r="Y232" i="1"/>
  <c r="Z232" i="1"/>
  <c r="AA232" i="1"/>
  <c r="Y231" i="1"/>
  <c r="Z231" i="1"/>
  <c r="AA231" i="1"/>
  <c r="Y230" i="1"/>
  <c r="Z230" i="1"/>
  <c r="AA230" i="1"/>
  <c r="Y229" i="1"/>
  <c r="Z229" i="1"/>
  <c r="AA229" i="1"/>
  <c r="F226" i="1"/>
  <c r="Y226" i="1"/>
  <c r="Z226" i="1"/>
  <c r="AA226" i="1"/>
  <c r="F227" i="1"/>
  <c r="E227" i="1"/>
  <c r="F228" i="1"/>
  <c r="Y228" i="1"/>
  <c r="Z228" i="1"/>
  <c r="AA228" i="1"/>
  <c r="Y225" i="1"/>
  <c r="Z225" i="1"/>
  <c r="AA225" i="1"/>
  <c r="F216" i="1"/>
  <c r="F224" i="1"/>
  <c r="Y224" i="1"/>
  <c r="Z224" i="1"/>
  <c r="AA224" i="1"/>
  <c r="Y222" i="1"/>
  <c r="Z222" i="1"/>
  <c r="AA222" i="1"/>
  <c r="F223" i="1"/>
  <c r="Y223" i="1"/>
  <c r="Z223" i="1"/>
  <c r="AA223" i="1"/>
  <c r="G221" i="1"/>
  <c r="F221" i="1"/>
  <c r="Y220" i="1"/>
  <c r="Z220" i="1"/>
  <c r="AA220" i="1"/>
  <c r="Y219" i="1"/>
  <c r="Z219" i="1"/>
  <c r="AA219" i="1"/>
  <c r="G214" i="1"/>
  <c r="Y214" i="1"/>
  <c r="Z214" i="1"/>
  <c r="AA214" i="1"/>
  <c r="G216" i="1"/>
  <c r="G213" i="1"/>
  <c r="Y213" i="1"/>
  <c r="Z213" i="1"/>
  <c r="AA213" i="1"/>
  <c r="G215" i="1"/>
  <c r="F217" i="1"/>
  <c r="Y217" i="1"/>
  <c r="Z217" i="1"/>
  <c r="AA217" i="1"/>
  <c r="F192" i="1"/>
  <c r="Y218" i="1"/>
  <c r="Z218" i="1"/>
  <c r="AA218" i="1"/>
  <c r="F215" i="1"/>
  <c r="G205" i="1"/>
  <c r="G201" i="1"/>
  <c r="Y212" i="1"/>
  <c r="Z212" i="1"/>
  <c r="AA212" i="1"/>
  <c r="F210" i="1"/>
  <c r="Y210" i="1"/>
  <c r="Z210" i="1"/>
  <c r="AA210" i="1"/>
  <c r="Y209" i="1"/>
  <c r="Z209" i="1"/>
  <c r="AA209" i="1"/>
  <c r="F211" i="1"/>
  <c r="Y211" i="1"/>
  <c r="Z211" i="1"/>
  <c r="AA211" i="1"/>
  <c r="G208" i="1"/>
  <c r="F208" i="1"/>
  <c r="Y207" i="1"/>
  <c r="Z207" i="1"/>
  <c r="AA207" i="1"/>
  <c r="Y206" i="1"/>
  <c r="Z206" i="1"/>
  <c r="AA206" i="1"/>
  <c r="F205" i="1"/>
  <c r="G204" i="1"/>
  <c r="F204" i="1"/>
  <c r="Y203" i="1"/>
  <c r="Z203" i="1"/>
  <c r="AA203" i="1"/>
  <c r="F202" i="1"/>
  <c r="Y202" i="1"/>
  <c r="Z202" i="1"/>
  <c r="AA202" i="1"/>
  <c r="F196" i="1"/>
  <c r="Y196" i="1"/>
  <c r="Z196" i="1"/>
  <c r="AA196" i="1"/>
  <c r="G197" i="1"/>
  <c r="F197" i="1"/>
  <c r="Y198" i="1"/>
  <c r="Z198" i="1"/>
  <c r="AA198" i="1"/>
  <c r="F199" i="1"/>
  <c r="Y199" i="1"/>
  <c r="Z199" i="1"/>
  <c r="AA199" i="1"/>
  <c r="F200" i="1"/>
  <c r="Y200" i="1"/>
  <c r="Z200" i="1"/>
  <c r="AA200" i="1"/>
  <c r="F201" i="1"/>
  <c r="G195" i="1"/>
  <c r="Y195" i="1"/>
  <c r="Z195" i="1"/>
  <c r="AA195" i="1"/>
  <c r="F194" i="1"/>
  <c r="Y194" i="1"/>
  <c r="Z194" i="1"/>
  <c r="AA194" i="1"/>
  <c r="F193" i="1"/>
  <c r="Y193" i="1"/>
  <c r="Z193" i="1"/>
  <c r="AA193" i="1"/>
  <c r="Y191" i="1"/>
  <c r="Z191" i="1"/>
  <c r="AA191" i="1"/>
  <c r="G192" i="1"/>
  <c r="F190" i="1"/>
  <c r="Y190" i="1"/>
  <c r="Z190" i="1"/>
  <c r="AA190" i="1"/>
  <c r="Y189" i="1"/>
  <c r="Z189" i="1"/>
  <c r="AA189" i="1"/>
  <c r="G188" i="1"/>
  <c r="F188" i="1"/>
  <c r="F187" i="1"/>
  <c r="Y187" i="1"/>
  <c r="Z187" i="1"/>
  <c r="AA187" i="1"/>
  <c r="G186" i="1"/>
  <c r="F186" i="1"/>
  <c r="Y185" i="1"/>
  <c r="Z185" i="1"/>
  <c r="AA185" i="1"/>
  <c r="F184" i="1"/>
  <c r="Y184" i="1"/>
  <c r="Z184" i="1"/>
  <c r="AA184" i="1"/>
  <c r="G183" i="1"/>
  <c r="F183" i="1"/>
  <c r="Y182" i="1"/>
  <c r="Z182" i="1"/>
  <c r="AA182" i="1"/>
  <c r="Y181" i="1"/>
  <c r="Z181" i="1"/>
  <c r="AA181" i="1"/>
  <c r="G180" i="1"/>
  <c r="Y180" i="1"/>
  <c r="Z180" i="1"/>
  <c r="AA180" i="1"/>
  <c r="G155" i="1"/>
  <c r="Y155" i="1"/>
  <c r="Z155" i="1"/>
  <c r="AA155" i="1"/>
  <c r="Y179" i="1"/>
  <c r="Z179" i="1"/>
  <c r="AA179" i="1"/>
  <c r="Y178" i="1"/>
  <c r="Z178" i="1"/>
  <c r="AA178" i="1"/>
  <c r="Y177" i="1"/>
  <c r="Z177" i="1"/>
  <c r="AA177" i="1"/>
  <c r="Y176" i="1"/>
  <c r="Z176" i="1"/>
  <c r="AA176" i="1"/>
  <c r="Y175" i="1"/>
  <c r="Z175" i="1"/>
  <c r="AA175" i="1"/>
  <c r="Y174" i="1"/>
  <c r="Z174" i="1"/>
  <c r="AA174" i="1"/>
  <c r="G170" i="1"/>
  <c r="Y173" i="1"/>
  <c r="Z173" i="1"/>
  <c r="AA173" i="1"/>
  <c r="F171" i="1"/>
  <c r="Y171" i="1"/>
  <c r="Z171" i="1"/>
  <c r="AA171" i="1"/>
  <c r="Y172" i="1"/>
  <c r="Z172" i="1"/>
  <c r="AA172" i="1"/>
  <c r="F170" i="1"/>
  <c r="Y168" i="1"/>
  <c r="Z168" i="1"/>
  <c r="AA168" i="1"/>
  <c r="Y169" i="1"/>
  <c r="Z169" i="1"/>
  <c r="AA169" i="1"/>
  <c r="Y167" i="1"/>
  <c r="Z167" i="1"/>
  <c r="AA167" i="1"/>
  <c r="G163" i="1"/>
  <c r="G165" i="1"/>
  <c r="Y166" i="1"/>
  <c r="Z166" i="1"/>
  <c r="AA166" i="1"/>
  <c r="Y164" i="1"/>
  <c r="Z164" i="1"/>
  <c r="AA164" i="1"/>
  <c r="F165" i="1"/>
  <c r="F163" i="1"/>
  <c r="F162" i="1"/>
  <c r="Y162" i="1"/>
  <c r="Z162" i="1"/>
  <c r="AA162" i="1"/>
  <c r="Y161" i="1"/>
  <c r="Z161" i="1"/>
  <c r="AA161" i="1"/>
  <c r="Y158" i="1"/>
  <c r="Z158" i="1"/>
  <c r="AA158" i="1"/>
  <c r="F159" i="1"/>
  <c r="Y159" i="1"/>
  <c r="Z159" i="1"/>
  <c r="AA159" i="1"/>
  <c r="Y160" i="1"/>
  <c r="Z160" i="1"/>
  <c r="AA160" i="1"/>
  <c r="F157" i="1"/>
  <c r="Y157" i="1"/>
  <c r="Z157" i="1"/>
  <c r="AA157" i="1"/>
  <c r="F156" i="1"/>
  <c r="Y156" i="1"/>
  <c r="Z156" i="1"/>
  <c r="AA156" i="1"/>
  <c r="Y153" i="1"/>
  <c r="Z153" i="1"/>
  <c r="AA153" i="1"/>
  <c r="Y154" i="1"/>
  <c r="Z154" i="1"/>
  <c r="AA154" i="1"/>
  <c r="Y151" i="1"/>
  <c r="Z151" i="1"/>
  <c r="AA151" i="1"/>
  <c r="G152" i="1"/>
  <c r="Y152" i="1"/>
  <c r="Z152" i="1"/>
  <c r="AA152" i="1"/>
  <c r="G147" i="1"/>
  <c r="Y147" i="1"/>
  <c r="Z147" i="1"/>
  <c r="AA147" i="1"/>
  <c r="F148" i="1"/>
  <c r="Y148" i="1"/>
  <c r="Z148" i="1"/>
  <c r="AA148" i="1"/>
  <c r="Y149" i="1"/>
  <c r="Z149" i="1"/>
  <c r="AA149" i="1"/>
  <c r="G150" i="1"/>
  <c r="F150" i="1"/>
  <c r="F146" i="1"/>
  <c r="Y146" i="1"/>
  <c r="Z146" i="1"/>
  <c r="AA146" i="1"/>
  <c r="Y145" i="1"/>
  <c r="Z145" i="1"/>
  <c r="AA145" i="1"/>
  <c r="Y143" i="1"/>
  <c r="Z143" i="1"/>
  <c r="AA143" i="1"/>
  <c r="Y144" i="1"/>
  <c r="Z144" i="1"/>
  <c r="AA144" i="1"/>
  <c r="F142" i="1"/>
  <c r="Y142" i="1"/>
  <c r="Z142" i="1"/>
  <c r="AA142" i="1"/>
  <c r="Y140" i="1"/>
  <c r="Z140" i="1"/>
  <c r="AA140" i="1"/>
  <c r="Y141" i="1"/>
  <c r="Z141" i="1"/>
  <c r="AA141" i="1"/>
  <c r="G139" i="1"/>
  <c r="Y139" i="1"/>
  <c r="Z139" i="1"/>
  <c r="AA139" i="1"/>
  <c r="F119" i="1"/>
  <c r="Y119" i="1"/>
  <c r="Z119" i="1"/>
  <c r="AA119" i="1"/>
  <c r="F131" i="1"/>
  <c r="Y131" i="1"/>
  <c r="Z131" i="1"/>
  <c r="AA131" i="1"/>
  <c r="Y138" i="1"/>
  <c r="Z138" i="1"/>
  <c r="AA138" i="1"/>
  <c r="Y137" i="1"/>
  <c r="Z137" i="1"/>
  <c r="AA137" i="1"/>
  <c r="Y136" i="1"/>
  <c r="Z136" i="1"/>
  <c r="AA136" i="1"/>
  <c r="Y135" i="1"/>
  <c r="Z135" i="1"/>
  <c r="AA135" i="1"/>
  <c r="Y134" i="1"/>
  <c r="Z134" i="1"/>
  <c r="AA134" i="1"/>
  <c r="Y133" i="1"/>
  <c r="Z133" i="1"/>
  <c r="AA133" i="1"/>
  <c r="F120" i="1"/>
  <c r="Y120" i="1"/>
  <c r="Z120" i="1"/>
  <c r="AA120" i="1"/>
  <c r="F121" i="1"/>
  <c r="Y121" i="1"/>
  <c r="Z121" i="1"/>
  <c r="AA121" i="1"/>
  <c r="F122" i="1"/>
  <c r="Y122" i="1"/>
  <c r="Z122" i="1"/>
  <c r="AA122" i="1"/>
  <c r="F123" i="1"/>
  <c r="Y123" i="1"/>
  <c r="Z123" i="1"/>
  <c r="AA123" i="1"/>
  <c r="F124" i="1"/>
  <c r="Y124" i="1"/>
  <c r="Z124" i="1"/>
  <c r="AA124" i="1"/>
  <c r="Y125" i="1"/>
  <c r="Z125" i="1"/>
  <c r="AA125" i="1"/>
  <c r="F126" i="1"/>
  <c r="Y126" i="1"/>
  <c r="Z126" i="1"/>
  <c r="AA126" i="1"/>
  <c r="Y127" i="1"/>
  <c r="Z127" i="1"/>
  <c r="AA127" i="1"/>
  <c r="F128" i="1"/>
  <c r="Y128" i="1"/>
  <c r="Z128" i="1"/>
  <c r="AA128" i="1"/>
  <c r="Y129" i="1"/>
  <c r="Z129" i="1"/>
  <c r="AA129" i="1"/>
  <c r="F130" i="1"/>
  <c r="Y130" i="1"/>
  <c r="Z130" i="1"/>
  <c r="AA130" i="1"/>
  <c r="Y132" i="1"/>
  <c r="Z132" i="1"/>
  <c r="AA132" i="1"/>
  <c r="F118" i="1"/>
  <c r="Y118" i="1"/>
  <c r="Z118" i="1"/>
  <c r="AA118" i="1"/>
  <c r="F117" i="1"/>
  <c r="E117" i="1"/>
  <c r="G115" i="1"/>
  <c r="F115" i="1"/>
  <c r="F114" i="1"/>
  <c r="Y114" i="1"/>
  <c r="Z114" i="1"/>
  <c r="AA114" i="1"/>
  <c r="F113" i="1"/>
  <c r="Y113" i="1"/>
  <c r="Z113" i="1"/>
  <c r="AA113" i="1"/>
  <c r="Y116" i="1"/>
  <c r="Z116" i="1"/>
  <c r="AA116" i="1"/>
  <c r="Y112" i="1"/>
  <c r="Z112" i="1"/>
  <c r="AA112" i="1"/>
  <c r="Y111" i="1"/>
  <c r="Z111" i="1"/>
  <c r="AA111" i="1"/>
  <c r="Y110" i="1"/>
  <c r="Z110" i="1"/>
  <c r="AA110" i="1"/>
  <c r="Y108" i="1"/>
  <c r="Z108" i="1"/>
  <c r="AA108" i="1"/>
  <c r="F109" i="1"/>
  <c r="Y109" i="1"/>
  <c r="Z109" i="1"/>
  <c r="AA109" i="1"/>
  <c r="F107" i="1"/>
  <c r="Y107" i="1"/>
  <c r="Z107" i="1"/>
  <c r="AA107" i="1"/>
  <c r="Y106" i="1"/>
  <c r="Z106" i="1"/>
  <c r="AA106" i="1"/>
  <c r="G105" i="1"/>
  <c r="F105" i="1"/>
  <c r="F104" i="1"/>
  <c r="Y104" i="1"/>
  <c r="Z104" i="1"/>
  <c r="AA104" i="1"/>
  <c r="Y103" i="1"/>
  <c r="Z103" i="1"/>
  <c r="AA103" i="1"/>
  <c r="Y102" i="1"/>
  <c r="Z102" i="1"/>
  <c r="AA102" i="1"/>
  <c r="Y101" i="1"/>
  <c r="Z101" i="1"/>
  <c r="AA101" i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3" i="3"/>
  <c r="Y100" i="1"/>
  <c r="Z100" i="1"/>
  <c r="AA100" i="1"/>
  <c r="E99" i="1"/>
  <c r="Y99" i="1"/>
  <c r="F98" i="1"/>
  <c r="Y98" i="1"/>
  <c r="Z98" i="1"/>
  <c r="AA98" i="1"/>
  <c r="F97" i="1"/>
  <c r="Y97" i="1"/>
  <c r="Z97" i="1"/>
  <c r="AA97" i="1"/>
  <c r="F96" i="1"/>
  <c r="Y96" i="1"/>
  <c r="Z96" i="1"/>
  <c r="AA96" i="1"/>
  <c r="E95" i="1"/>
  <c r="Y95" i="1"/>
  <c r="Z95" i="1"/>
  <c r="AA95" i="1"/>
  <c r="E91" i="1"/>
  <c r="Y94" i="1"/>
  <c r="Z94" i="1"/>
  <c r="AA94" i="1"/>
  <c r="F93" i="1"/>
  <c r="Y93" i="1"/>
  <c r="Z93" i="1"/>
  <c r="AA93" i="1"/>
  <c r="Y92" i="1"/>
  <c r="Z92" i="1"/>
  <c r="AA92" i="1"/>
  <c r="F91" i="1"/>
  <c r="F90" i="1"/>
  <c r="Y90" i="1"/>
  <c r="Z90" i="1"/>
  <c r="AA90" i="1"/>
  <c r="Y89" i="1"/>
  <c r="Z89" i="1"/>
  <c r="AA89" i="1"/>
  <c r="F88" i="1"/>
  <c r="Y88" i="1"/>
  <c r="Z88" i="1"/>
  <c r="AA88" i="1"/>
  <c r="F87" i="1"/>
  <c r="Y87" i="1"/>
  <c r="Z87" i="1"/>
  <c r="AA87" i="1"/>
  <c r="Y84" i="1"/>
  <c r="Z84" i="1"/>
  <c r="AA84" i="1"/>
  <c r="Y86" i="1"/>
  <c r="Z86" i="1"/>
  <c r="AA86" i="1"/>
  <c r="Y82" i="1"/>
  <c r="Z82" i="1"/>
  <c r="AA82" i="1"/>
  <c r="E85" i="1"/>
  <c r="Y85" i="1"/>
  <c r="Z85" i="1"/>
  <c r="AA85" i="1"/>
  <c r="F83" i="1"/>
  <c r="Y83" i="1"/>
  <c r="Z83" i="1"/>
  <c r="AA83" i="1"/>
  <c r="Y79" i="1"/>
  <c r="Z79" i="1"/>
  <c r="AA79" i="1"/>
  <c r="Y80" i="1"/>
  <c r="Z80" i="1"/>
  <c r="AA80" i="1"/>
  <c r="Y81" i="1"/>
  <c r="Z81" i="1"/>
  <c r="AA81" i="1"/>
  <c r="Y78" i="1"/>
  <c r="Z78" i="1"/>
  <c r="AA78" i="1"/>
  <c r="Y77" i="1"/>
  <c r="Z77" i="1"/>
  <c r="AA77" i="1"/>
  <c r="F76" i="1"/>
  <c r="Y76" i="1"/>
  <c r="Z76" i="1"/>
  <c r="AA76" i="1"/>
  <c r="Y75" i="1"/>
  <c r="Z75" i="1"/>
  <c r="AA75" i="1"/>
  <c r="F74" i="1"/>
  <c r="Y74" i="1"/>
  <c r="Z74" i="1"/>
  <c r="AA74" i="1"/>
  <c r="F73" i="1"/>
  <c r="Y73" i="1"/>
  <c r="Z73" i="1"/>
  <c r="AA73" i="1"/>
  <c r="F72" i="1"/>
  <c r="Y72" i="1"/>
  <c r="Z72" i="1"/>
  <c r="AA72" i="1"/>
  <c r="F71" i="1"/>
  <c r="Y71" i="1"/>
  <c r="Z71" i="1"/>
  <c r="AA71" i="1"/>
  <c r="F70" i="1"/>
  <c r="Y70" i="1"/>
  <c r="Z70" i="1"/>
  <c r="AA70" i="1"/>
  <c r="Y69" i="1"/>
  <c r="Z69" i="1"/>
  <c r="AA69" i="1"/>
  <c r="Y68" i="1"/>
  <c r="Z68" i="1"/>
  <c r="AA68" i="1"/>
  <c r="Y67" i="1"/>
  <c r="Z67" i="1"/>
  <c r="AA67" i="1"/>
  <c r="E66" i="1"/>
  <c r="F66" i="1"/>
  <c r="Y64" i="1"/>
  <c r="Z64" i="1"/>
  <c r="AA64" i="1"/>
  <c r="Y65" i="1"/>
  <c r="Z65" i="1"/>
  <c r="AA65" i="1"/>
  <c r="F63" i="1"/>
  <c r="Y63" i="1"/>
  <c r="Z63" i="1"/>
  <c r="AA63" i="1"/>
  <c r="F62" i="1"/>
  <c r="Y62" i="1"/>
  <c r="Z62" i="1"/>
  <c r="AA62" i="1"/>
  <c r="Y61" i="1"/>
  <c r="Z61" i="1"/>
  <c r="AA61" i="1"/>
  <c r="Y60" i="1"/>
  <c r="Z60" i="1"/>
  <c r="AA60" i="1"/>
  <c r="G59" i="1"/>
  <c r="Y59" i="1"/>
  <c r="Z59" i="1"/>
  <c r="AA59" i="1"/>
  <c r="E58" i="1"/>
  <c r="F58" i="1"/>
  <c r="F57" i="1"/>
  <c r="Y57" i="1"/>
  <c r="Z57" i="1"/>
  <c r="AA57" i="1"/>
  <c r="Y56" i="1"/>
  <c r="Z56" i="1"/>
  <c r="AA56" i="1"/>
  <c r="Y54" i="1"/>
  <c r="Z54" i="1"/>
  <c r="AA54" i="1"/>
  <c r="Y55" i="1"/>
  <c r="Z55" i="1"/>
  <c r="AA55" i="1"/>
  <c r="F53" i="1"/>
  <c r="Y53" i="1"/>
  <c r="Z53" i="1"/>
  <c r="AA53" i="1"/>
  <c r="F51" i="1"/>
  <c r="Y51" i="1"/>
  <c r="Z51" i="1"/>
  <c r="AA51" i="1"/>
  <c r="F52" i="1"/>
  <c r="Y52" i="1"/>
  <c r="Z52" i="1"/>
  <c r="AA52" i="1"/>
  <c r="Y50" i="1"/>
  <c r="Z50" i="1"/>
  <c r="AA50" i="1"/>
  <c r="G49" i="1"/>
  <c r="E49" i="1"/>
  <c r="F49" i="1"/>
  <c r="E32" i="1"/>
  <c r="Y32" i="1"/>
  <c r="Y48" i="1"/>
  <c r="Z48" i="1"/>
  <c r="AA48" i="1"/>
  <c r="E46" i="1"/>
  <c r="Y47" i="1"/>
  <c r="Z47" i="1"/>
  <c r="AA47" i="1"/>
  <c r="F45" i="1"/>
  <c r="Y45" i="1"/>
  <c r="Z45" i="1"/>
  <c r="AA45" i="1"/>
  <c r="F44" i="1"/>
  <c r="Y44" i="1"/>
  <c r="Z44" i="1"/>
  <c r="AA44" i="1"/>
  <c r="F43" i="1"/>
  <c r="Y43" i="1"/>
  <c r="Z43" i="1"/>
  <c r="AA43" i="1"/>
  <c r="Y42" i="1"/>
  <c r="Z42" i="1"/>
  <c r="AA42" i="1"/>
  <c r="Y41" i="1"/>
  <c r="Z41" i="1"/>
  <c r="AA41" i="1"/>
  <c r="Y40" i="1"/>
  <c r="Z40" i="1"/>
  <c r="AA40" i="1"/>
  <c r="F39" i="1"/>
  <c r="Y39" i="1"/>
  <c r="Z39" i="1"/>
  <c r="AA39" i="1"/>
  <c r="E29" i="1"/>
  <c r="G38" i="1"/>
  <c r="F38" i="1"/>
  <c r="Y37" i="1"/>
  <c r="Z37" i="1"/>
  <c r="AA37" i="1"/>
  <c r="Y36" i="1"/>
  <c r="Z36" i="1"/>
  <c r="AA36" i="1"/>
  <c r="F30" i="1"/>
  <c r="Y30" i="1"/>
  <c r="Z30" i="1"/>
  <c r="AA30" i="1"/>
  <c r="F33" i="1"/>
  <c r="G33" i="1"/>
  <c r="Y34" i="1"/>
  <c r="Z34" i="1"/>
  <c r="AA34" i="1"/>
  <c r="Y35" i="1"/>
  <c r="Z35" i="1"/>
  <c r="AA35" i="1"/>
  <c r="F31" i="1"/>
  <c r="Y31" i="1"/>
  <c r="Z31" i="1"/>
  <c r="AA31" i="1"/>
  <c r="G28" i="1"/>
  <c r="F29" i="1"/>
  <c r="F28" i="1"/>
  <c r="F27" i="1"/>
  <c r="Y27" i="1"/>
  <c r="Z27" i="1"/>
  <c r="AA27" i="1"/>
  <c r="Y26" i="1"/>
  <c r="Z26" i="1"/>
  <c r="AA26" i="1"/>
  <c r="Y25" i="1"/>
  <c r="Z25" i="1"/>
  <c r="AA25" i="1"/>
  <c r="E24" i="1"/>
  <c r="F24" i="1"/>
  <c r="F23" i="1"/>
  <c r="Y23" i="1"/>
  <c r="Z23" i="1"/>
  <c r="AA23" i="1"/>
  <c r="G20" i="1"/>
  <c r="G19" i="1"/>
  <c r="F22" i="1"/>
  <c r="Y22" i="1"/>
  <c r="Z22" i="1"/>
  <c r="AA22" i="1"/>
  <c r="F21" i="1"/>
  <c r="Y21" i="1"/>
  <c r="Z21" i="1"/>
  <c r="AA21" i="1"/>
  <c r="F20" i="1"/>
  <c r="F19" i="1"/>
  <c r="F2" i="1"/>
  <c r="Y2" i="1"/>
  <c r="Z2" i="1"/>
  <c r="AA2" i="1"/>
  <c r="G18" i="1"/>
  <c r="F18" i="1"/>
  <c r="F15" i="1"/>
  <c r="Y15" i="1"/>
  <c r="Z15" i="1"/>
  <c r="AA15" i="1"/>
  <c r="Y16" i="1"/>
  <c r="Z16" i="1"/>
  <c r="AA16" i="1"/>
  <c r="Y17" i="1"/>
  <c r="Z17" i="1"/>
  <c r="AA17" i="1"/>
  <c r="Y14" i="1"/>
  <c r="Z14" i="1"/>
  <c r="AA14" i="1"/>
  <c r="Y13" i="1"/>
  <c r="Z13" i="1"/>
  <c r="AA13" i="1"/>
  <c r="F12" i="1"/>
  <c r="Y12" i="1"/>
  <c r="Z12" i="1"/>
  <c r="AA12" i="1"/>
  <c r="G9" i="1"/>
  <c r="F9" i="1"/>
  <c r="E9" i="1"/>
  <c r="F10" i="1"/>
  <c r="E10" i="1"/>
  <c r="E7" i="1"/>
  <c r="F7" i="1"/>
  <c r="F5" i="1"/>
  <c r="Y5" i="1"/>
  <c r="Z5" i="1"/>
  <c r="AA5" i="1"/>
  <c r="F3" i="1"/>
  <c r="Y3" i="1"/>
  <c r="Z3" i="1"/>
  <c r="AA3" i="1"/>
  <c r="Y4" i="1"/>
  <c r="Z4" i="1"/>
  <c r="AA4" i="1"/>
  <c r="Y6" i="1"/>
  <c r="Z6" i="1"/>
  <c r="AA6" i="1"/>
  <c r="Y8" i="1"/>
  <c r="Z8" i="1"/>
  <c r="AA8" i="1"/>
  <c r="Y11" i="1"/>
  <c r="Z11" i="1"/>
  <c r="AA11" i="1"/>
  <c r="Y307" i="1"/>
  <c r="Z307" i="1"/>
  <c r="AA307" i="1"/>
  <c r="Y318" i="1"/>
  <c r="Z318" i="1"/>
  <c r="AA318" i="1"/>
  <c r="Y319" i="1"/>
  <c r="Z319" i="1"/>
  <c r="AA319" i="1"/>
  <c r="Y315" i="1"/>
  <c r="Z315" i="1"/>
  <c r="AA315" i="1"/>
  <c r="Y314" i="1"/>
  <c r="Z314" i="1"/>
  <c r="AA314" i="1"/>
  <c r="Y316" i="1"/>
  <c r="Z316" i="1"/>
  <c r="AA316" i="1"/>
  <c r="Y308" i="1"/>
  <c r="Z308" i="1"/>
  <c r="AA308" i="1"/>
  <c r="Y294" i="1"/>
  <c r="Z294" i="1"/>
  <c r="AA294" i="1"/>
  <c r="Y278" i="1"/>
  <c r="Z278" i="1"/>
  <c r="AA278" i="1"/>
  <c r="Y281" i="1"/>
  <c r="Z281" i="1"/>
  <c r="AA281" i="1"/>
  <c r="Y58" i="1"/>
  <c r="Z58" i="1"/>
  <c r="AA58" i="1"/>
  <c r="Y18" i="1"/>
  <c r="Z18" i="1"/>
  <c r="AA18" i="1"/>
  <c r="Y215" i="1"/>
  <c r="Z215" i="1"/>
  <c r="AA215" i="1"/>
  <c r="Y20" i="1"/>
  <c r="Z20" i="1"/>
  <c r="AA20" i="1"/>
  <c r="Y105" i="1"/>
  <c r="Z105" i="1"/>
  <c r="AA105" i="1"/>
  <c r="Y150" i="1"/>
  <c r="Z150" i="1"/>
  <c r="AA150" i="1"/>
  <c r="Y257" i="1"/>
  <c r="Z257" i="1"/>
  <c r="AA257" i="1"/>
  <c r="Y186" i="1"/>
  <c r="Z186" i="1"/>
  <c r="AA186" i="1"/>
  <c r="Y244" i="1"/>
  <c r="Z244" i="1"/>
  <c r="AA244" i="1"/>
  <c r="Y188" i="1"/>
  <c r="Z188" i="1"/>
  <c r="AA188" i="1"/>
  <c r="Y38" i="1"/>
  <c r="Z38" i="1"/>
  <c r="AA38" i="1"/>
  <c r="Y10" i="1"/>
  <c r="Z10" i="1"/>
  <c r="AA10" i="1"/>
  <c r="Y204" i="1"/>
  <c r="Z204" i="1"/>
  <c r="AA204" i="1"/>
  <c r="Y197" i="1"/>
  <c r="Z197" i="1"/>
  <c r="AA197" i="1"/>
  <c r="M4" i="3"/>
  <c r="Z99" i="1"/>
  <c r="AA99" i="1"/>
  <c r="Y247" i="1"/>
  <c r="Z247" i="1"/>
  <c r="AA247" i="1"/>
  <c r="Y201" i="1"/>
  <c r="Z201" i="1"/>
  <c r="AA201" i="1"/>
  <c r="Y221" i="1"/>
  <c r="Z221" i="1"/>
  <c r="AA221" i="1"/>
  <c r="Y192" i="1"/>
  <c r="Z192" i="1"/>
  <c r="AA192" i="1"/>
  <c r="Y205" i="1"/>
  <c r="Z205" i="1"/>
  <c r="AA205" i="1"/>
  <c r="Y9" i="1"/>
  <c r="Z9" i="1"/>
  <c r="AA9" i="1"/>
  <c r="Y165" i="1"/>
  <c r="Z165" i="1"/>
  <c r="AA165" i="1"/>
  <c r="Y208" i="1"/>
  <c r="Z208" i="1"/>
  <c r="AA208" i="1"/>
  <c r="Y33" i="1"/>
  <c r="Z33" i="1"/>
  <c r="AA33" i="1"/>
  <c r="Y163" i="1"/>
  <c r="Z163" i="1"/>
  <c r="AA163" i="1"/>
  <c r="K6" i="3"/>
  <c r="Y170" i="1"/>
  <c r="Z170" i="1"/>
  <c r="AA170" i="1"/>
  <c r="F5" i="3"/>
  <c r="Y66" i="1"/>
  <c r="Z66" i="1"/>
  <c r="AA66" i="1"/>
  <c r="Y115" i="1"/>
  <c r="Z115" i="1"/>
  <c r="AA115" i="1"/>
  <c r="Y227" i="1"/>
  <c r="Z227" i="1"/>
  <c r="AA227" i="1"/>
  <c r="Y7" i="1"/>
  <c r="Z7" i="1"/>
  <c r="AA7" i="1"/>
  <c r="M3" i="3"/>
  <c r="Y24" i="1"/>
  <c r="Z24" i="1"/>
  <c r="AA24" i="1"/>
  <c r="Z32" i="1"/>
  <c r="AA32" i="1"/>
  <c r="Y117" i="1"/>
  <c r="Z117" i="1"/>
  <c r="AA117" i="1"/>
  <c r="Y216" i="1"/>
  <c r="Z216" i="1"/>
  <c r="AA216" i="1"/>
  <c r="Y249" i="1"/>
  <c r="Z249" i="1"/>
  <c r="AA249" i="1"/>
  <c r="Y28" i="1"/>
  <c r="Z28" i="1"/>
  <c r="AA28" i="1"/>
  <c r="Y49" i="1"/>
  <c r="Z49" i="1"/>
  <c r="AA49" i="1"/>
  <c r="Y29" i="1"/>
  <c r="Z29" i="1"/>
  <c r="AA29" i="1"/>
  <c r="Y19" i="1"/>
  <c r="Z19" i="1"/>
  <c r="AA19" i="1"/>
  <c r="Y91" i="1"/>
  <c r="Z91" i="1"/>
  <c r="AA91" i="1"/>
  <c r="Y183" i="1"/>
  <c r="Z183" i="1"/>
  <c r="AA183" i="1"/>
  <c r="F6" i="3"/>
  <c r="M6" i="3"/>
  <c r="Y46" i="1"/>
  <c r="Z46" i="1"/>
  <c r="B6" i="3"/>
  <c r="H4" i="3"/>
  <c r="M9" i="3"/>
  <c r="M8" i="3"/>
  <c r="B2" i="3"/>
  <c r="B3" i="3"/>
  <c r="B5" i="3"/>
  <c r="M7" i="3"/>
  <c r="M5" i="3"/>
  <c r="AA260" i="1"/>
  <c r="K5" i="3"/>
  <c r="F11" i="3"/>
  <c r="F10" i="3"/>
  <c r="F9" i="3"/>
  <c r="F19" i="3"/>
  <c r="K8" i="3"/>
  <c r="K3" i="3"/>
  <c r="F18" i="3"/>
  <c r="F20" i="3"/>
  <c r="K9" i="3"/>
  <c r="F7" i="3"/>
  <c r="F15" i="3"/>
  <c r="F17" i="3"/>
  <c r="K7" i="3"/>
  <c r="F12" i="3"/>
  <c r="F16" i="3"/>
  <c r="F8" i="3"/>
  <c r="AA46" i="1"/>
  <c r="F13" i="3"/>
  <c r="B9" i="3"/>
  <c r="B7" i="3"/>
  <c r="B8" i="3"/>
  <c r="F4" i="3"/>
  <c r="B4" i="3"/>
  <c r="F3" i="3"/>
  <c r="K4" i="3"/>
  <c r="B10" i="3"/>
  <c r="F14" i="3"/>
</calcChain>
</file>

<file path=xl/sharedStrings.xml><?xml version="1.0" encoding="utf-8"?>
<sst xmlns="http://schemas.openxmlformats.org/spreadsheetml/2006/main" count="1460" uniqueCount="495">
  <si>
    <t>Soffit</t>
  </si>
  <si>
    <t>Siding</t>
  </si>
  <si>
    <t>Stucco</t>
  </si>
  <si>
    <t>Garage</t>
  </si>
  <si>
    <t>Deck</t>
  </si>
  <si>
    <t>Iron</t>
  </si>
  <si>
    <t>Wood</t>
  </si>
  <si>
    <t>Walls</t>
  </si>
  <si>
    <t>Int</t>
  </si>
  <si>
    <t>Ceil</t>
  </si>
  <si>
    <t>Trim</t>
  </si>
  <si>
    <t>Closets</t>
  </si>
  <si>
    <t>Cab</t>
  </si>
  <si>
    <t>Paint</t>
  </si>
  <si>
    <t>Labor</t>
  </si>
  <si>
    <t>Est.</t>
  </si>
  <si>
    <t>Name</t>
  </si>
  <si>
    <t>Foremn</t>
  </si>
  <si>
    <t>Sales</t>
  </si>
  <si>
    <t>Date</t>
  </si>
  <si>
    <t>N</t>
  </si>
  <si>
    <t>C</t>
  </si>
  <si>
    <t>Profit</t>
  </si>
  <si>
    <t>Perc_Profit</t>
  </si>
  <si>
    <t>Doors_Int</t>
  </si>
  <si>
    <t>Doors_Ext</t>
  </si>
  <si>
    <t>Total_Cost</t>
  </si>
  <si>
    <t>Contr</t>
  </si>
  <si>
    <t>Angel</t>
  </si>
  <si>
    <t>Jenkins</t>
  </si>
  <si>
    <t>B</t>
  </si>
  <si>
    <t>A</t>
  </si>
  <si>
    <t>Kirkpatrick</t>
  </si>
  <si>
    <t>Shin</t>
  </si>
  <si>
    <t>J</t>
  </si>
  <si>
    <t>Lans</t>
  </si>
  <si>
    <t>Dixon</t>
  </si>
  <si>
    <t>Shavano - Silver</t>
  </si>
  <si>
    <t>Markarski</t>
  </si>
  <si>
    <t>Lucas</t>
  </si>
  <si>
    <t>Angle</t>
  </si>
  <si>
    <t>Pastore</t>
  </si>
  <si>
    <t>Baca</t>
  </si>
  <si>
    <t>Wallpaper</t>
  </si>
  <si>
    <t>Davis</t>
  </si>
  <si>
    <t>Sault</t>
  </si>
  <si>
    <t>Paques</t>
  </si>
  <si>
    <t>S</t>
  </si>
  <si>
    <t>F</t>
  </si>
  <si>
    <t>JTE Haines</t>
  </si>
  <si>
    <t>McCarty</t>
  </si>
  <si>
    <t>K Smith</t>
  </si>
  <si>
    <t>Bannerman</t>
  </si>
  <si>
    <t>Peterson</t>
  </si>
  <si>
    <t>JTE 6330</t>
  </si>
  <si>
    <t>Williams</t>
  </si>
  <si>
    <t>Gateley</t>
  </si>
  <si>
    <t>Call back?</t>
  </si>
  <si>
    <t>JTE Jefferson</t>
  </si>
  <si>
    <t>Salazar-King</t>
  </si>
  <si>
    <t>Smith</t>
  </si>
  <si>
    <t>Kastler-Davis</t>
  </si>
  <si>
    <t>McBride</t>
  </si>
  <si>
    <t>Messer</t>
  </si>
  <si>
    <t>JTE San Pedro</t>
  </si>
  <si>
    <t>Erenstein</t>
  </si>
  <si>
    <t>Shav-Indian School</t>
  </si>
  <si>
    <t>Alunday</t>
  </si>
  <si>
    <t>Dwight</t>
  </si>
  <si>
    <t>Summers</t>
  </si>
  <si>
    <t>Lawrence</t>
  </si>
  <si>
    <t>Loffredo</t>
  </si>
  <si>
    <t>Dalton</t>
  </si>
  <si>
    <t>Hill</t>
  </si>
  <si>
    <t>Gutierrez</t>
  </si>
  <si>
    <t>Hyden</t>
  </si>
  <si>
    <t>Watters</t>
  </si>
  <si>
    <t>Bennett</t>
  </si>
  <si>
    <t>D'Antonio</t>
  </si>
  <si>
    <t>Elliott</t>
  </si>
  <si>
    <t>Dolk</t>
  </si>
  <si>
    <t>Tomasson</t>
  </si>
  <si>
    <t>Fisher</t>
  </si>
  <si>
    <t>Boniface</t>
  </si>
  <si>
    <t>Nelson</t>
  </si>
  <si>
    <t>Wagner</t>
  </si>
  <si>
    <t>Sowanick</t>
  </si>
  <si>
    <t>DeGrauuw</t>
  </si>
  <si>
    <t>Geyer</t>
  </si>
  <si>
    <t>Brandenburg</t>
  </si>
  <si>
    <t>Allen</t>
  </si>
  <si>
    <t>Alexander</t>
  </si>
  <si>
    <t xml:space="preserve">Upton - Phase I </t>
  </si>
  <si>
    <t>Campellone</t>
  </si>
  <si>
    <t>Thompson</t>
  </si>
  <si>
    <t>Simmons</t>
  </si>
  <si>
    <t>4th St</t>
  </si>
  <si>
    <t>Mirabel</t>
  </si>
  <si>
    <t>Amador</t>
  </si>
  <si>
    <t>Watson</t>
  </si>
  <si>
    <t>Heckes</t>
  </si>
  <si>
    <t>Kubie</t>
  </si>
  <si>
    <t>E</t>
  </si>
  <si>
    <t>Nagle</t>
  </si>
  <si>
    <t>Shav - IS</t>
  </si>
  <si>
    <t>Lindell</t>
  </si>
  <si>
    <t>Garcia</t>
  </si>
  <si>
    <t>Gurule</t>
  </si>
  <si>
    <t>Dieterle</t>
  </si>
  <si>
    <t>Mudrick</t>
  </si>
  <si>
    <t>Vancil</t>
  </si>
  <si>
    <t>Maddelenni</t>
  </si>
  <si>
    <t>Adams</t>
  </si>
  <si>
    <t>Gordon</t>
  </si>
  <si>
    <t>Bolton</t>
  </si>
  <si>
    <t>Simpson</t>
  </si>
  <si>
    <t>McGrogan</t>
  </si>
  <si>
    <t>Sutton</t>
  </si>
  <si>
    <t>Demint</t>
  </si>
  <si>
    <t>Parkes</t>
  </si>
  <si>
    <t>Newcomb</t>
  </si>
  <si>
    <t>Dunn</t>
  </si>
  <si>
    <t>Keene</t>
  </si>
  <si>
    <t>Lemoine</t>
  </si>
  <si>
    <t>Upton</t>
  </si>
  <si>
    <t>Yulo</t>
  </si>
  <si>
    <t xml:space="preserve">Soule </t>
  </si>
  <si>
    <t>Shav - Meadow</t>
  </si>
  <si>
    <t>Hans</t>
  </si>
  <si>
    <t>Kistner</t>
  </si>
  <si>
    <t>Popovich</t>
  </si>
  <si>
    <t>Gonazales</t>
  </si>
  <si>
    <t>Hall</t>
  </si>
  <si>
    <t>Ruiz</t>
  </si>
  <si>
    <t>Sandoval</t>
  </si>
  <si>
    <t>O'Keefe</t>
  </si>
  <si>
    <t>Kirupa</t>
  </si>
  <si>
    <t>Mellins</t>
  </si>
  <si>
    <t>Job Cost Summary</t>
  </si>
  <si>
    <t>Revenue</t>
  </si>
  <si>
    <t>Labor Percentage</t>
  </si>
  <si>
    <t>Paint Percentage</t>
  </si>
  <si>
    <t>Total Profit</t>
  </si>
  <si>
    <t>Total Percent Profit</t>
  </si>
  <si>
    <t>Average Sales Price</t>
  </si>
  <si>
    <t>Number of Sales</t>
  </si>
  <si>
    <t>Average Profit per Job</t>
  </si>
  <si>
    <t>Average Percent Profit</t>
  </si>
  <si>
    <t>Job Type</t>
  </si>
  <si>
    <t>Interior</t>
  </si>
  <si>
    <t>Exterior</t>
  </si>
  <si>
    <t xml:space="preserve">Stucco </t>
  </si>
  <si>
    <t>Exterior Doors</t>
  </si>
  <si>
    <t>Ceiling</t>
  </si>
  <si>
    <t>Cabinets</t>
  </si>
  <si>
    <t>Contractor</t>
  </si>
  <si>
    <t>Job Size</t>
  </si>
  <si>
    <t>Interior Doors</t>
  </si>
  <si>
    <t>Number of Jobs</t>
  </si>
  <si>
    <t>0 - 750</t>
  </si>
  <si>
    <t>750 - 1000</t>
  </si>
  <si>
    <t>1000 - 1500</t>
  </si>
  <si>
    <t>1500 - 2000</t>
  </si>
  <si>
    <t>2000 - 2500</t>
  </si>
  <si>
    <t>2500 - 4000</t>
  </si>
  <si>
    <t>4000 +</t>
  </si>
  <si>
    <t>Big Lots</t>
  </si>
  <si>
    <t>Sullivan</t>
  </si>
  <si>
    <t>Forrester</t>
  </si>
  <si>
    <t>Montano</t>
  </si>
  <si>
    <t>Conrad</t>
  </si>
  <si>
    <t>Bergsma</t>
  </si>
  <si>
    <t>Andrews</t>
  </si>
  <si>
    <t>Kraus</t>
  </si>
  <si>
    <t xml:space="preserve">Hall </t>
  </si>
  <si>
    <t>Fowler</t>
  </si>
  <si>
    <t xml:space="preserve">Youngman </t>
  </si>
  <si>
    <t>Shea</t>
  </si>
  <si>
    <t>Bender</t>
  </si>
  <si>
    <t>Maxon</t>
  </si>
  <si>
    <t>Chacon</t>
  </si>
  <si>
    <t xml:space="preserve">Trujillo </t>
  </si>
  <si>
    <t>Shav-Chandelle</t>
  </si>
  <si>
    <t>Peter</t>
  </si>
  <si>
    <t>Tomlinson</t>
  </si>
  <si>
    <t>JTE</t>
  </si>
  <si>
    <t>Plut</t>
  </si>
  <si>
    <t xml:space="preserve">Chandler </t>
  </si>
  <si>
    <t xml:space="preserve">Shav-cedarbrook </t>
  </si>
  <si>
    <t>Boswell</t>
  </si>
  <si>
    <t>Rensvold</t>
  </si>
  <si>
    <t xml:space="preserve">Watson </t>
  </si>
  <si>
    <t>Cavaliere</t>
  </si>
  <si>
    <t xml:space="preserve">Kubie </t>
  </si>
  <si>
    <t xml:space="preserve">Giles </t>
  </si>
  <si>
    <t>Beatty</t>
  </si>
  <si>
    <t xml:space="preserve">Furst </t>
  </si>
  <si>
    <t xml:space="preserve">Fowler </t>
  </si>
  <si>
    <t>Haas</t>
  </si>
  <si>
    <t>Clark-thomp(ext)</t>
  </si>
  <si>
    <t>Clark-thomp(int)</t>
  </si>
  <si>
    <t xml:space="preserve">Labor </t>
  </si>
  <si>
    <t xml:space="preserve">Davis Kitchens </t>
  </si>
  <si>
    <t>Veale</t>
  </si>
  <si>
    <t xml:space="preserve">White </t>
  </si>
  <si>
    <t>Denman</t>
  </si>
  <si>
    <t>Ness</t>
  </si>
  <si>
    <t>Brister</t>
  </si>
  <si>
    <t>Baker</t>
  </si>
  <si>
    <t xml:space="preserve">Allardice </t>
  </si>
  <si>
    <t>Silveri</t>
  </si>
  <si>
    <t xml:space="preserve">JTE Admiral </t>
  </si>
  <si>
    <t>Woods</t>
  </si>
  <si>
    <t>Hutchins</t>
  </si>
  <si>
    <t>Uranga</t>
  </si>
  <si>
    <t>JTE Nail salon</t>
  </si>
  <si>
    <t xml:space="preserve">Shav Luna </t>
  </si>
  <si>
    <t xml:space="preserve">Kennedy </t>
  </si>
  <si>
    <t>Real</t>
  </si>
  <si>
    <t xml:space="preserve">Kastler </t>
  </si>
  <si>
    <t xml:space="preserve">Benally </t>
  </si>
  <si>
    <t>Scott</t>
  </si>
  <si>
    <t>Matson</t>
  </si>
  <si>
    <t>Newkirk</t>
  </si>
  <si>
    <t>Dawson</t>
  </si>
  <si>
    <t>Bultman</t>
  </si>
  <si>
    <t>Dipilato</t>
  </si>
  <si>
    <t>Lujan</t>
  </si>
  <si>
    <t>Shav Blackstone</t>
  </si>
  <si>
    <t>Yao</t>
  </si>
  <si>
    <t xml:space="preserve">Santa fe Door </t>
  </si>
  <si>
    <t>Darwin</t>
  </si>
  <si>
    <t xml:space="preserve">Turley </t>
  </si>
  <si>
    <t>Patton</t>
  </si>
  <si>
    <t>Tomingas</t>
  </si>
  <si>
    <t>Sheriff</t>
  </si>
  <si>
    <t>Malone</t>
  </si>
  <si>
    <t>LeMoine</t>
  </si>
  <si>
    <t>Delara</t>
  </si>
  <si>
    <t>O'Malley</t>
  </si>
  <si>
    <t>Bach</t>
  </si>
  <si>
    <t>Rojas</t>
  </si>
  <si>
    <t xml:space="preserve">Angle </t>
  </si>
  <si>
    <t>Herman</t>
  </si>
  <si>
    <t>Hanks</t>
  </si>
  <si>
    <t>Torres</t>
  </si>
  <si>
    <t>Humann</t>
  </si>
  <si>
    <t>Worthing</t>
  </si>
  <si>
    <t>Mckinney</t>
  </si>
  <si>
    <t xml:space="preserve">Hopkins </t>
  </si>
  <si>
    <t>Wilhelm</t>
  </si>
  <si>
    <t>Baecher</t>
  </si>
  <si>
    <t xml:space="preserve">Garcia </t>
  </si>
  <si>
    <t>Garrison</t>
  </si>
  <si>
    <t>Abrazo</t>
  </si>
  <si>
    <t>Gorlick</t>
  </si>
  <si>
    <t xml:space="preserve">Brooksby </t>
  </si>
  <si>
    <t>Little</t>
  </si>
  <si>
    <t xml:space="preserve">Snyder </t>
  </si>
  <si>
    <t xml:space="preserve">Lujan </t>
  </si>
  <si>
    <t>Sherwood</t>
  </si>
  <si>
    <t xml:space="preserve">Gurye </t>
  </si>
  <si>
    <t>Wyss</t>
  </si>
  <si>
    <t>Hirsh</t>
  </si>
  <si>
    <t>Arevalo</t>
  </si>
  <si>
    <t>REA</t>
  </si>
  <si>
    <t>Martin</t>
  </si>
  <si>
    <t xml:space="preserve">New Life </t>
  </si>
  <si>
    <t>Stern</t>
  </si>
  <si>
    <t>Silling</t>
  </si>
  <si>
    <t>Hines</t>
  </si>
  <si>
    <t>Maestas</t>
  </si>
  <si>
    <t>Lofstrom</t>
  </si>
  <si>
    <t xml:space="preserve">Petty </t>
  </si>
  <si>
    <t>Canalles</t>
  </si>
  <si>
    <t>Barrera</t>
  </si>
  <si>
    <t>Lilley</t>
  </si>
  <si>
    <t xml:space="preserve">Richmond </t>
  </si>
  <si>
    <t xml:space="preserve">Taylor </t>
  </si>
  <si>
    <t>Parker</t>
  </si>
  <si>
    <t>Ash</t>
  </si>
  <si>
    <t xml:space="preserve">Glaser </t>
  </si>
  <si>
    <t xml:space="preserve">McCreary </t>
  </si>
  <si>
    <t xml:space="preserve">Schneider </t>
  </si>
  <si>
    <t>Ruud</t>
  </si>
  <si>
    <t>Davenport</t>
  </si>
  <si>
    <t>Deihl</t>
  </si>
  <si>
    <t xml:space="preserve">King </t>
  </si>
  <si>
    <t>Nordberg</t>
  </si>
  <si>
    <t>Suknot</t>
  </si>
  <si>
    <t xml:space="preserve">unknown </t>
  </si>
  <si>
    <t xml:space="preserve">Gurule </t>
  </si>
  <si>
    <t xml:space="preserve">Vilchuck </t>
  </si>
  <si>
    <t>Carbahall</t>
  </si>
  <si>
    <t>Hewitt</t>
  </si>
  <si>
    <t>Gallagher</t>
  </si>
  <si>
    <t xml:space="preserve">All Faiths </t>
  </si>
  <si>
    <t xml:space="preserve">Lawrence </t>
  </si>
  <si>
    <t xml:space="preserve">Waldschmidt </t>
  </si>
  <si>
    <t>Flandermeyer</t>
  </si>
  <si>
    <t xml:space="preserve">Westerlund </t>
  </si>
  <si>
    <t>F&amp;J</t>
  </si>
  <si>
    <t xml:space="preserve">Action barns </t>
  </si>
  <si>
    <t>Jones,R</t>
  </si>
  <si>
    <t>Jones,A</t>
  </si>
  <si>
    <t>Proft</t>
  </si>
  <si>
    <t>Saavedra</t>
  </si>
  <si>
    <t>Julian</t>
  </si>
  <si>
    <t xml:space="preserve">Cisna </t>
  </si>
  <si>
    <t>Reilly</t>
  </si>
  <si>
    <t>N,F</t>
  </si>
  <si>
    <t>F,N</t>
  </si>
  <si>
    <t xml:space="preserve">Williams </t>
  </si>
  <si>
    <t xml:space="preserve">Hoddinot </t>
  </si>
  <si>
    <t>Braken</t>
  </si>
  <si>
    <t xml:space="preserve">Starns </t>
  </si>
  <si>
    <t xml:space="preserve">Julian </t>
  </si>
  <si>
    <t xml:space="preserve">Escabel </t>
  </si>
  <si>
    <t xml:space="preserve">Andrade </t>
  </si>
  <si>
    <t>Johnson</t>
  </si>
  <si>
    <t>Argo</t>
  </si>
  <si>
    <t xml:space="preserve">Surgery center </t>
  </si>
  <si>
    <t xml:space="preserve">Shav-Silver peak </t>
  </si>
  <si>
    <t>Lee</t>
  </si>
  <si>
    <t xml:space="preserve">Cooper </t>
  </si>
  <si>
    <t xml:space="preserve">ABQ ortho </t>
  </si>
  <si>
    <t>Hartig</t>
  </si>
  <si>
    <t xml:space="preserve">Martin Office </t>
  </si>
  <si>
    <t>Pouska</t>
  </si>
  <si>
    <t xml:space="preserve">Shav-Bighorn </t>
  </si>
  <si>
    <t>Lozito</t>
  </si>
  <si>
    <t>Randall</t>
  </si>
  <si>
    <t>Tyselling</t>
  </si>
  <si>
    <t>Granger</t>
  </si>
  <si>
    <t xml:space="preserve">Candelaria </t>
  </si>
  <si>
    <t>Omalley</t>
  </si>
  <si>
    <t xml:space="preserve">Reeves </t>
  </si>
  <si>
    <t xml:space="preserve">Torres-Smith </t>
  </si>
  <si>
    <t xml:space="preserve">Cuenca </t>
  </si>
  <si>
    <t>Steffen</t>
  </si>
  <si>
    <t xml:space="preserve">Saavedra </t>
  </si>
  <si>
    <t>Hehr</t>
  </si>
  <si>
    <t xml:space="preserve">Truster </t>
  </si>
  <si>
    <t xml:space="preserve">Marinsik </t>
  </si>
  <si>
    <t>Anderson</t>
  </si>
  <si>
    <t>Taylor</t>
  </si>
  <si>
    <t xml:space="preserve">Mills </t>
  </si>
  <si>
    <t>Platt</t>
  </si>
  <si>
    <t xml:space="preserve">Roybal </t>
  </si>
  <si>
    <t>Valverde</t>
  </si>
  <si>
    <t xml:space="preserve">Shav-Green </t>
  </si>
  <si>
    <t>Castro</t>
  </si>
  <si>
    <t xml:space="preserve">Valverde </t>
  </si>
  <si>
    <t>Roadcap</t>
  </si>
  <si>
    <t xml:space="preserve">Tyselling </t>
  </si>
  <si>
    <t xml:space="preserve">Claffy </t>
  </si>
  <si>
    <t xml:space="preserve">Knisely </t>
  </si>
  <si>
    <t>Cauwels</t>
  </si>
  <si>
    <t>Crouteau</t>
  </si>
  <si>
    <t>Martin, Lee</t>
  </si>
  <si>
    <t>Meth</t>
  </si>
  <si>
    <t>Gaskin</t>
  </si>
  <si>
    <t xml:space="preserve">Espen </t>
  </si>
  <si>
    <t>Talati</t>
  </si>
  <si>
    <t xml:space="preserve">Borden </t>
  </si>
  <si>
    <t>Cook</t>
  </si>
  <si>
    <t xml:space="preserve">Fontana </t>
  </si>
  <si>
    <t xml:space="preserve">Atkins </t>
  </si>
  <si>
    <t xml:space="preserve">Lowrey </t>
  </si>
  <si>
    <t xml:space="preserve">Naranjo </t>
  </si>
  <si>
    <t>Glassman</t>
  </si>
  <si>
    <t>Martynuik</t>
  </si>
  <si>
    <t xml:space="preserve">Crotau </t>
  </si>
  <si>
    <t>Perez</t>
  </si>
  <si>
    <t>Shav-Vintner</t>
  </si>
  <si>
    <t>Franzak</t>
  </si>
  <si>
    <t xml:space="preserve">Montoya </t>
  </si>
  <si>
    <t>Bartburger</t>
  </si>
  <si>
    <t xml:space="preserve">Creek </t>
  </si>
  <si>
    <t>Weil</t>
  </si>
  <si>
    <t>Drake</t>
  </si>
  <si>
    <t>Causaus</t>
  </si>
  <si>
    <t xml:space="preserve">Kalgren </t>
  </si>
  <si>
    <t>Juarez</t>
  </si>
  <si>
    <t>Shav-Martindale</t>
  </si>
  <si>
    <t>Botteger</t>
  </si>
  <si>
    <t>Plevin</t>
  </si>
  <si>
    <t>Owens</t>
  </si>
  <si>
    <t xml:space="preserve">JTE San Pedro </t>
  </si>
  <si>
    <t>Rohrig</t>
  </si>
  <si>
    <t>Mosby</t>
  </si>
  <si>
    <t>Cala</t>
  </si>
  <si>
    <t>Hirsch</t>
  </si>
  <si>
    <t xml:space="preserve">Chapman </t>
  </si>
  <si>
    <t xml:space="preserve">Shav-Snowridge </t>
  </si>
  <si>
    <t xml:space="preserve">Gessing </t>
  </si>
  <si>
    <t>Saylor</t>
  </si>
  <si>
    <t>Hanisee</t>
  </si>
  <si>
    <t>Greenleaf</t>
  </si>
  <si>
    <t xml:space="preserve">Dickey </t>
  </si>
  <si>
    <t>maestas</t>
  </si>
  <si>
    <t>Khalil</t>
  </si>
  <si>
    <t xml:space="preserve">Mohon </t>
  </si>
  <si>
    <t>Shepherd</t>
  </si>
  <si>
    <t xml:space="preserve">Mills-Cox </t>
  </si>
  <si>
    <t>McCreary</t>
  </si>
  <si>
    <t>Pirolo</t>
  </si>
  <si>
    <t>Burrows</t>
  </si>
  <si>
    <t>Blazek</t>
  </si>
  <si>
    <t>Hostler</t>
  </si>
  <si>
    <t>Stone</t>
  </si>
  <si>
    <t>Blackman</t>
  </si>
  <si>
    <t>Casper</t>
  </si>
  <si>
    <t>King</t>
  </si>
  <si>
    <t xml:space="preserve">Sanchez </t>
  </si>
  <si>
    <t>Harlow</t>
  </si>
  <si>
    <t xml:space="preserve">Gallacher </t>
  </si>
  <si>
    <t xml:space="preserve">Bennet </t>
  </si>
  <si>
    <t>Larson</t>
  </si>
  <si>
    <t>Sauderburg</t>
  </si>
  <si>
    <t xml:space="preserve">Roschevits </t>
  </si>
  <si>
    <t>Minard</t>
  </si>
  <si>
    <t>Fettes</t>
  </si>
  <si>
    <t>Kalgren</t>
  </si>
  <si>
    <t>Gessing</t>
  </si>
  <si>
    <t>Rossiter</t>
  </si>
  <si>
    <t xml:space="preserve">Action </t>
  </si>
  <si>
    <t>Boothe</t>
  </si>
  <si>
    <t>Walker</t>
  </si>
  <si>
    <t>Bennahum</t>
  </si>
  <si>
    <t>Middleton</t>
  </si>
  <si>
    <t>Schueler</t>
  </si>
  <si>
    <t>Sander</t>
  </si>
  <si>
    <t>Seligman</t>
  </si>
  <si>
    <t>Jenkins Office</t>
  </si>
  <si>
    <t>Finnagin</t>
  </si>
  <si>
    <t xml:space="preserve">Greenview </t>
  </si>
  <si>
    <t xml:space="preserve">Sherlock </t>
  </si>
  <si>
    <t xml:space="preserve">Fitz Gerald </t>
  </si>
  <si>
    <t xml:space="preserve">Handal </t>
  </si>
  <si>
    <t xml:space="preserve">Espinosa </t>
  </si>
  <si>
    <t>Zerbst</t>
  </si>
  <si>
    <t>Petersen</t>
  </si>
  <si>
    <t>K</t>
  </si>
  <si>
    <t>Amps</t>
  </si>
  <si>
    <t>Montoya</t>
  </si>
  <si>
    <t xml:space="preserve">Armistead </t>
  </si>
  <si>
    <t>Lopez</t>
  </si>
  <si>
    <t xml:space="preserve">Oliveras </t>
  </si>
  <si>
    <t>Beckman</t>
  </si>
  <si>
    <t>Polovony</t>
  </si>
  <si>
    <t>heinz</t>
  </si>
  <si>
    <t xml:space="preserve">lloyd </t>
  </si>
  <si>
    <t>Baldwin</t>
  </si>
  <si>
    <t>Sanderoff</t>
  </si>
  <si>
    <t>Escudero</t>
  </si>
  <si>
    <t xml:space="preserve">Balto </t>
  </si>
  <si>
    <t xml:space="preserve">Jaramillo </t>
  </si>
  <si>
    <t>Massad</t>
  </si>
  <si>
    <t>Bush-sharp</t>
  </si>
  <si>
    <t>Greenlee</t>
  </si>
  <si>
    <t xml:space="preserve">Blackman </t>
  </si>
  <si>
    <t>Guinn</t>
  </si>
  <si>
    <t xml:space="preserve">J,F </t>
  </si>
  <si>
    <t>Kester</t>
  </si>
  <si>
    <t>Burgner</t>
  </si>
  <si>
    <t xml:space="preserve">Delagdo </t>
  </si>
  <si>
    <t>Martinez</t>
  </si>
  <si>
    <t>Kaemper</t>
  </si>
  <si>
    <t>Vintner</t>
  </si>
  <si>
    <t xml:space="preserve">Reynolds </t>
  </si>
  <si>
    <t>Starr</t>
  </si>
  <si>
    <t>Moore</t>
  </si>
  <si>
    <t>Scott, Fran</t>
  </si>
  <si>
    <t xml:space="preserve">Scott, Bob </t>
  </si>
  <si>
    <t>Jackowatz</t>
  </si>
  <si>
    <t>Bryce</t>
  </si>
  <si>
    <t>Dwyer</t>
  </si>
  <si>
    <t>Davison</t>
  </si>
  <si>
    <t xml:space="preserve">Shav-Mendoza </t>
  </si>
  <si>
    <t>Booth</t>
  </si>
  <si>
    <t>Lillard</t>
  </si>
  <si>
    <t>Huff</t>
  </si>
  <si>
    <t xml:space="preserve">Rodriguez </t>
  </si>
  <si>
    <t>Robertson</t>
  </si>
  <si>
    <t xml:space="preserve">Torres-smith </t>
  </si>
  <si>
    <t xml:space="preserve">Graves </t>
  </si>
  <si>
    <t>Gokaidas</t>
  </si>
  <si>
    <t xml:space="preserve">Sansourekidou </t>
  </si>
  <si>
    <t xml:space="preserve">Dimenna </t>
  </si>
  <si>
    <t>Marcus</t>
  </si>
  <si>
    <t xml:space="preserve">Action security </t>
  </si>
  <si>
    <t>McCormick</t>
  </si>
  <si>
    <t>True Value</t>
  </si>
  <si>
    <t>Turley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</si>
</sst>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  <xf numFmtId="9" fontId="1" fillId="0" borderId="0" xfId="2" applyFont="1" applyAlignment="1">
      <alignment horizontal="center"/>
    </xf>
    <xf numFmtId="9" fontId="0" fillId="0" borderId="0" xfId="2" applyFont="1"/>
    <xf numFmtId="9" fontId="0" fillId="0" borderId="0" xfId="2" applyFont="1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0" fontId="4" fillId="0" borderId="1" xfId="0" applyFont="1" applyBorder="1"/>
    <xf numFmtId="0" fontId="4" fillId="0" borderId="4" xfId="0" applyFont="1" applyBorder="1"/>
    <xf numFmtId="0" fontId="4" fillId="0" borderId="6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4" xfId="0" applyFont="1" applyBorder="1"/>
    <xf numFmtId="0" fontId="6" fillId="0" borderId="6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4" fontId="0" fillId="0" borderId="2" xfId="1" applyFont="1" applyBorder="1"/>
    <xf numFmtId="44" fontId="0" fillId="0" borderId="3" xfId="1" applyFont="1" applyBorder="1"/>
    <xf numFmtId="165" fontId="0" fillId="0" borderId="0" xfId="2" applyNumberFormat="1" applyFont="1" applyBorder="1"/>
    <xf numFmtId="165" fontId="0" fillId="0" borderId="5" xfId="2" applyNumberFormat="1" applyFont="1" applyBorder="1"/>
    <xf numFmtId="44" fontId="0" fillId="0" borderId="0" xfId="1" applyFont="1" applyBorder="1"/>
    <xf numFmtId="44" fontId="0" fillId="0" borderId="5" xfId="1" applyFont="1" applyBorder="1"/>
    <xf numFmtId="165" fontId="0" fillId="0" borderId="7" xfId="0" applyNumberFormat="1" applyBorder="1"/>
    <xf numFmtId="165" fontId="0" fillId="0" borderId="8" xfId="0" applyNumberFormat="1" applyBorder="1"/>
    <xf numFmtId="165" fontId="6" fillId="0" borderId="0" xfId="2" applyNumberFormat="1" applyFont="1" applyBorder="1" applyAlignment="1">
      <alignment horizontal="center" vertical="center"/>
    </xf>
    <xf numFmtId="0" fontId="0" fillId="0" borderId="0" xfId="0"/>
    <xf numFmtId="0" fontId="0" fillId="0" borderId="5" xfId="0" applyBorder="1"/>
    <xf numFmtId="165" fontId="6" fillId="0" borderId="7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</dxf>
  </dxfs>
  <tableStyles count="0" defaultTableStyle="TableStyleMedium2" defaultPivotStyle="PivotStyleLight16"/>
  <colors>
    <mruColors>
      <color rgb="FF4472C4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Profit Across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Finished_Jobs!$AA$2:$AA$367</c:f>
              <c:numCache>
                <c:formatCode>0%</c:formatCode>
                <c:ptCount val="366"/>
                <c:pt idx="0">
                  <c:v>-9.9169894853347231E-3</c:v>
                </c:pt>
                <c:pt idx="1">
                  <c:v>4.3241153731787114E-2</c:v>
                </c:pt>
                <c:pt idx="2">
                  <c:v>0.38655172413793104</c:v>
                </c:pt>
                <c:pt idx="3">
                  <c:v>0.34820542246449576</c:v>
                </c:pt>
                <c:pt idx="4">
                  <c:v>-6.2500000000000003E-3</c:v>
                </c:pt>
                <c:pt idx="5">
                  <c:v>0.31675619834710744</c:v>
                </c:pt>
                <c:pt idx="6">
                  <c:v>0.14347533632286996</c:v>
                </c:pt>
                <c:pt idx="7">
                  <c:v>0.35343424182912614</c:v>
                </c:pt>
                <c:pt idx="8">
                  <c:v>0.22616277535945126</c:v>
                </c:pt>
                <c:pt idx="9">
                  <c:v>0.33236111111111105</c:v>
                </c:pt>
                <c:pt idx="10">
                  <c:v>0.18670505438259768</c:v>
                </c:pt>
                <c:pt idx="11">
                  <c:v>0.11927835051546384</c:v>
                </c:pt>
                <c:pt idx="12">
                  <c:v>0.34345323741007183</c:v>
                </c:pt>
                <c:pt idx="13">
                  <c:v>9.0794747753973656E-2</c:v>
                </c:pt>
                <c:pt idx="14">
                  <c:v>-2.160000000000006E-2</c:v>
                </c:pt>
                <c:pt idx="15">
                  <c:v>0.3624</c:v>
                </c:pt>
                <c:pt idx="16">
                  <c:v>0.25268749999999995</c:v>
                </c:pt>
                <c:pt idx="17">
                  <c:v>0.23876923076923073</c:v>
                </c:pt>
                <c:pt idx="18">
                  <c:v>0.12946347769877181</c:v>
                </c:pt>
                <c:pt idx="19">
                  <c:v>3.9488054607508573E-2</c:v>
                </c:pt>
                <c:pt idx="20">
                  <c:v>0.20295000000000005</c:v>
                </c:pt>
                <c:pt idx="21">
                  <c:v>-1.6296665007466519E-2</c:v>
                </c:pt>
                <c:pt idx="22">
                  <c:v>0.23511013215859033</c:v>
                </c:pt>
                <c:pt idx="23">
                  <c:v>-7.3492063492063414E-2</c:v>
                </c:pt>
                <c:pt idx="24">
                  <c:v>0.21473684210526317</c:v>
                </c:pt>
                <c:pt idx="25">
                  <c:v>0.18328087167070212</c:v>
                </c:pt>
                <c:pt idx="26">
                  <c:v>0.35519704433497523</c:v>
                </c:pt>
                <c:pt idx="27">
                  <c:v>0.37012906097018244</c:v>
                </c:pt>
                <c:pt idx="28">
                  <c:v>0.10379511059371359</c:v>
                </c:pt>
                <c:pt idx="29">
                  <c:v>0.11394531249999992</c:v>
                </c:pt>
                <c:pt idx="30">
                  <c:v>0.27996101364522413</c:v>
                </c:pt>
                <c:pt idx="31">
                  <c:v>5.5299793246037225E-2</c:v>
                </c:pt>
                <c:pt idx="32">
                  <c:v>0.23197113216057735</c:v>
                </c:pt>
                <c:pt idx="33">
                  <c:v>7.6065573770491848E-2</c:v>
                </c:pt>
                <c:pt idx="34">
                  <c:v>7.6452513966480465E-2</c:v>
                </c:pt>
                <c:pt idx="35">
                  <c:v>9.90314136125654E-2</c:v>
                </c:pt>
                <c:pt idx="36">
                  <c:v>0.17861313868613138</c:v>
                </c:pt>
                <c:pt idx="37">
                  <c:v>-2.4444444444444446E-2</c:v>
                </c:pt>
                <c:pt idx="38">
                  <c:v>0.34799999999999998</c:v>
                </c:pt>
                <c:pt idx="39">
                  <c:v>9.1735015772870618E-2</c:v>
                </c:pt>
                <c:pt idx="40">
                  <c:v>-0.57174603174603178</c:v>
                </c:pt>
                <c:pt idx="41">
                  <c:v>0.29345043914680041</c:v>
                </c:pt>
                <c:pt idx="42">
                  <c:v>0.32754027926960255</c:v>
                </c:pt>
                <c:pt idx="43">
                  <c:v>0.41854545454545455</c:v>
                </c:pt>
                <c:pt idx="44">
                  <c:v>7.7319382162431491E-2</c:v>
                </c:pt>
                <c:pt idx="45">
                  <c:v>0.22852459016393439</c:v>
                </c:pt>
                <c:pt idx="46">
                  <c:v>0.12382352941176472</c:v>
                </c:pt>
                <c:pt idx="47">
                  <c:v>0.22537364798426748</c:v>
                </c:pt>
                <c:pt idx="48">
                  <c:v>0.30298342541436468</c:v>
                </c:pt>
                <c:pt idx="49">
                  <c:v>0.13579737335834899</c:v>
                </c:pt>
                <c:pt idx="50">
                  <c:v>0.18575074667390712</c:v>
                </c:pt>
                <c:pt idx="51">
                  <c:v>0.21842348682887588</c:v>
                </c:pt>
                <c:pt idx="52">
                  <c:v>0.2792857142857143</c:v>
                </c:pt>
                <c:pt idx="53">
                  <c:v>0.20133333333333325</c:v>
                </c:pt>
                <c:pt idx="54">
                  <c:v>0.37722222222222224</c:v>
                </c:pt>
                <c:pt idx="55">
                  <c:v>-4.2283950617283954E-2</c:v>
                </c:pt>
                <c:pt idx="56">
                  <c:v>0.24953767895967502</c:v>
                </c:pt>
                <c:pt idx="57">
                  <c:v>0.36429603787690007</c:v>
                </c:pt>
                <c:pt idx="58">
                  <c:v>0.20161934805467929</c:v>
                </c:pt>
                <c:pt idx="59">
                  <c:v>0.40188850967007961</c:v>
                </c:pt>
                <c:pt idx="60">
                  <c:v>0.2199286987522282</c:v>
                </c:pt>
                <c:pt idx="61">
                  <c:v>0.35099476439790578</c:v>
                </c:pt>
                <c:pt idx="62">
                  <c:v>0.36167364016736403</c:v>
                </c:pt>
                <c:pt idx="63">
                  <c:v>0.34797799174690514</c:v>
                </c:pt>
                <c:pt idx="64">
                  <c:v>0.24041748672988605</c:v>
                </c:pt>
                <c:pt idx="65">
                  <c:v>0.25845342706502639</c:v>
                </c:pt>
                <c:pt idx="66">
                  <c:v>7.5416666666666604E-2</c:v>
                </c:pt>
                <c:pt idx="67">
                  <c:v>0.37771428571428572</c:v>
                </c:pt>
                <c:pt idx="68">
                  <c:v>1.8666666666666692E-2</c:v>
                </c:pt>
                <c:pt idx="69">
                  <c:v>0.15921052631578947</c:v>
                </c:pt>
                <c:pt idx="70">
                  <c:v>0.15924219910846948</c:v>
                </c:pt>
                <c:pt idx="71">
                  <c:v>0.17541858325666967</c:v>
                </c:pt>
                <c:pt idx="72">
                  <c:v>0.1379298157031052</c:v>
                </c:pt>
                <c:pt idx="73">
                  <c:v>0.32386666666666664</c:v>
                </c:pt>
                <c:pt idx="74">
                  <c:v>0.11663986457892504</c:v>
                </c:pt>
                <c:pt idx="75">
                  <c:v>0.34909999999999997</c:v>
                </c:pt>
                <c:pt idx="76">
                  <c:v>0.12461538461538461</c:v>
                </c:pt>
                <c:pt idx="77">
                  <c:v>0.18633333333333332</c:v>
                </c:pt>
                <c:pt idx="78">
                  <c:v>4.7462686567164111E-2</c:v>
                </c:pt>
                <c:pt idx="79">
                  <c:v>5.6600790513833966E-2</c:v>
                </c:pt>
                <c:pt idx="80">
                  <c:v>0.23925925925925925</c:v>
                </c:pt>
                <c:pt idx="81">
                  <c:v>0.14514991989013501</c:v>
                </c:pt>
                <c:pt idx="82">
                  <c:v>0.39010204081632655</c:v>
                </c:pt>
                <c:pt idx="83">
                  <c:v>0.31971014492753624</c:v>
                </c:pt>
                <c:pt idx="84">
                  <c:v>0.13636363636363635</c:v>
                </c:pt>
                <c:pt idx="85">
                  <c:v>0.3377086035451794</c:v>
                </c:pt>
                <c:pt idx="86">
                  <c:v>0.17835727839522908</c:v>
                </c:pt>
                <c:pt idx="87">
                  <c:v>-2.8198433420365118E-3</c:v>
                </c:pt>
                <c:pt idx="88">
                  <c:v>0.35830666666666672</c:v>
                </c:pt>
                <c:pt idx="89">
                  <c:v>0.22155642023346298</c:v>
                </c:pt>
                <c:pt idx="90">
                  <c:v>-0.11333333333333333</c:v>
                </c:pt>
                <c:pt idx="91">
                  <c:v>0.15531531531531526</c:v>
                </c:pt>
                <c:pt idx="92">
                  <c:v>-0.28702702702702698</c:v>
                </c:pt>
                <c:pt idx="93">
                  <c:v>0.38725529100529099</c:v>
                </c:pt>
                <c:pt idx="94">
                  <c:v>2.9478787878787858E-2</c:v>
                </c:pt>
                <c:pt idx="95">
                  <c:v>-9.569367369589353E-2</c:v>
                </c:pt>
                <c:pt idx="96">
                  <c:v>-0.27859154929577473</c:v>
                </c:pt>
                <c:pt idx="97">
                  <c:v>0.2053913043478261</c:v>
                </c:pt>
                <c:pt idx="98">
                  <c:v>7.6318181818181854E-2</c:v>
                </c:pt>
                <c:pt idx="99">
                  <c:v>0.21248010610079582</c:v>
                </c:pt>
                <c:pt idx="100">
                  <c:v>0.30727272727272725</c:v>
                </c:pt>
                <c:pt idx="101">
                  <c:v>0.17183897529734668</c:v>
                </c:pt>
                <c:pt idx="102">
                  <c:v>0.27308333333333334</c:v>
                </c:pt>
                <c:pt idx="103">
                  <c:v>0.34526315789473688</c:v>
                </c:pt>
                <c:pt idx="104">
                  <c:v>0.26255882352941173</c:v>
                </c:pt>
                <c:pt idx="105">
                  <c:v>0.25923522595596749</c:v>
                </c:pt>
                <c:pt idx="106">
                  <c:v>0.56190476190476191</c:v>
                </c:pt>
                <c:pt idx="107">
                  <c:v>0.21621000820344541</c:v>
                </c:pt>
                <c:pt idx="108">
                  <c:v>0.18444444444444444</c:v>
                </c:pt>
                <c:pt idx="109">
                  <c:v>0.1468571428571428</c:v>
                </c:pt>
                <c:pt idx="110">
                  <c:v>0.29758513931888536</c:v>
                </c:pt>
                <c:pt idx="111">
                  <c:v>3.214285714285714E-2</c:v>
                </c:pt>
                <c:pt idx="112">
                  <c:v>9.178970917225944E-2</c:v>
                </c:pt>
                <c:pt idx="113">
                  <c:v>0.14109090909090913</c:v>
                </c:pt>
                <c:pt idx="114">
                  <c:v>0.16499999999999992</c:v>
                </c:pt>
                <c:pt idx="115">
                  <c:v>0.38294372294372292</c:v>
                </c:pt>
                <c:pt idx="116">
                  <c:v>0.23830115830115822</c:v>
                </c:pt>
                <c:pt idx="117">
                  <c:v>0.2813809523809524</c:v>
                </c:pt>
                <c:pt idx="118">
                  <c:v>0.36509803921568629</c:v>
                </c:pt>
                <c:pt idx="119">
                  <c:v>0.44583003952569167</c:v>
                </c:pt>
                <c:pt idx="120">
                  <c:v>-0.2165333333333333</c:v>
                </c:pt>
                <c:pt idx="121">
                  <c:v>0.19036255767963084</c:v>
                </c:pt>
                <c:pt idx="122">
                  <c:v>0.23129773572152748</c:v>
                </c:pt>
                <c:pt idx="123">
                  <c:v>0.2024615384615385</c:v>
                </c:pt>
                <c:pt idx="124">
                  <c:v>7.1499999999999994E-2</c:v>
                </c:pt>
                <c:pt idx="125">
                  <c:v>0.22323809523809521</c:v>
                </c:pt>
                <c:pt idx="126">
                  <c:v>0.1448927038626609</c:v>
                </c:pt>
                <c:pt idx="127">
                  <c:v>0.33950000000000002</c:v>
                </c:pt>
                <c:pt idx="128">
                  <c:v>0.24015969338869372</c:v>
                </c:pt>
                <c:pt idx="129">
                  <c:v>4.4328165374676931E-2</c:v>
                </c:pt>
                <c:pt idx="130">
                  <c:v>3.7029702970297007E-2</c:v>
                </c:pt>
                <c:pt idx="131">
                  <c:v>0.37870588235294117</c:v>
                </c:pt>
                <c:pt idx="132">
                  <c:v>0.15904761904761905</c:v>
                </c:pt>
                <c:pt idx="133">
                  <c:v>0.60470099667774091</c:v>
                </c:pt>
                <c:pt idx="134">
                  <c:v>0.33053254437869817</c:v>
                </c:pt>
                <c:pt idx="135">
                  <c:v>6.5210871602624107E-2</c:v>
                </c:pt>
                <c:pt idx="136">
                  <c:v>-0.24248175182481754</c:v>
                </c:pt>
                <c:pt idx="137">
                  <c:v>0.22314993122420909</c:v>
                </c:pt>
                <c:pt idx="138">
                  <c:v>0.2995744680851064</c:v>
                </c:pt>
                <c:pt idx="139">
                  <c:v>-9.3766233766233831E-2</c:v>
                </c:pt>
                <c:pt idx="140">
                  <c:v>0.35439999999999999</c:v>
                </c:pt>
                <c:pt idx="141">
                  <c:v>0.58374999999999999</c:v>
                </c:pt>
                <c:pt idx="142">
                  <c:v>0.19638095238095243</c:v>
                </c:pt>
                <c:pt idx="143">
                  <c:v>0.52</c:v>
                </c:pt>
                <c:pt idx="144">
                  <c:v>0.46084337349397592</c:v>
                </c:pt>
                <c:pt idx="145">
                  <c:v>0.30701612903225811</c:v>
                </c:pt>
                <c:pt idx="146">
                  <c:v>0.32617142857142856</c:v>
                </c:pt>
                <c:pt idx="147">
                  <c:v>0.20081436077057788</c:v>
                </c:pt>
                <c:pt idx="148">
                  <c:v>0.29014005602240894</c:v>
                </c:pt>
                <c:pt idx="149">
                  <c:v>0.37843478260869567</c:v>
                </c:pt>
                <c:pt idx="150">
                  <c:v>0.31349796717361839</c:v>
                </c:pt>
                <c:pt idx="151">
                  <c:v>0.24258064516129033</c:v>
                </c:pt>
                <c:pt idx="152">
                  <c:v>0.54933333333333334</c:v>
                </c:pt>
                <c:pt idx="153">
                  <c:v>-0.21629770992366418</c:v>
                </c:pt>
                <c:pt idx="154">
                  <c:v>0.24531645569620247</c:v>
                </c:pt>
                <c:pt idx="155">
                  <c:v>0.36464761904761905</c:v>
                </c:pt>
                <c:pt idx="156">
                  <c:v>0.28049999999999997</c:v>
                </c:pt>
                <c:pt idx="157">
                  <c:v>0.18553950722175011</c:v>
                </c:pt>
                <c:pt idx="158">
                  <c:v>0.38504999999999995</c:v>
                </c:pt>
                <c:pt idx="159">
                  <c:v>0.20551724137931035</c:v>
                </c:pt>
                <c:pt idx="160">
                  <c:v>0.37668231611893582</c:v>
                </c:pt>
                <c:pt idx="161">
                  <c:v>0.35918495297805647</c:v>
                </c:pt>
                <c:pt idx="162">
                  <c:v>0.20799999999999999</c:v>
                </c:pt>
                <c:pt idx="163">
                  <c:v>0.21430204732783828</c:v>
                </c:pt>
                <c:pt idx="164">
                  <c:v>0.16266666666666671</c:v>
                </c:pt>
                <c:pt idx="165">
                  <c:v>-5.5333333333333408E-2</c:v>
                </c:pt>
                <c:pt idx="166">
                  <c:v>0.13876651982378846</c:v>
                </c:pt>
                <c:pt idx="167">
                  <c:v>-0.20499999999999999</c:v>
                </c:pt>
                <c:pt idx="168">
                  <c:v>0.36611235955056176</c:v>
                </c:pt>
                <c:pt idx="169">
                  <c:v>0.23635294117647057</c:v>
                </c:pt>
                <c:pt idx="170">
                  <c:v>6.5519169329073465E-2</c:v>
                </c:pt>
                <c:pt idx="171">
                  <c:v>0.23249249249249254</c:v>
                </c:pt>
                <c:pt idx="172">
                  <c:v>0.15275820170109358</c:v>
                </c:pt>
                <c:pt idx="173">
                  <c:v>0.55768965517241376</c:v>
                </c:pt>
                <c:pt idx="174">
                  <c:v>0.32410931174089069</c:v>
                </c:pt>
                <c:pt idx="175">
                  <c:v>0.17244444444444448</c:v>
                </c:pt>
                <c:pt idx="176">
                  <c:v>0.33208163265306118</c:v>
                </c:pt>
                <c:pt idx="177">
                  <c:v>0.44415704387990768</c:v>
                </c:pt>
                <c:pt idx="178">
                  <c:v>0.37385899814471241</c:v>
                </c:pt>
                <c:pt idx="179">
                  <c:v>0.23545970488081733</c:v>
                </c:pt>
                <c:pt idx="180">
                  <c:v>0.31443181818181815</c:v>
                </c:pt>
                <c:pt idx="181">
                  <c:v>-7.1051883439943161E-2</c:v>
                </c:pt>
                <c:pt idx="182">
                  <c:v>0.4282395382395382</c:v>
                </c:pt>
                <c:pt idx="183">
                  <c:v>0.20975806451612897</c:v>
                </c:pt>
                <c:pt idx="184">
                  <c:v>-0.17291936433195995</c:v>
                </c:pt>
                <c:pt idx="185">
                  <c:v>0.26718589272593679</c:v>
                </c:pt>
                <c:pt idx="186">
                  <c:v>0.34867153284671526</c:v>
                </c:pt>
                <c:pt idx="187">
                  <c:v>0.14299999999999999</c:v>
                </c:pt>
                <c:pt idx="188">
                  <c:v>0.22560000000000005</c:v>
                </c:pt>
                <c:pt idx="189">
                  <c:v>0.13622222222222224</c:v>
                </c:pt>
                <c:pt idx="190">
                  <c:v>0.53778972520908008</c:v>
                </c:pt>
                <c:pt idx="191">
                  <c:v>0.37643002028397571</c:v>
                </c:pt>
                <c:pt idx="192">
                  <c:v>0.51227799227799231</c:v>
                </c:pt>
                <c:pt idx="193">
                  <c:v>9.3190271816881207E-2</c:v>
                </c:pt>
                <c:pt idx="194">
                  <c:v>9.6120906801007655E-2</c:v>
                </c:pt>
                <c:pt idx="195">
                  <c:v>0.29213140843469354</c:v>
                </c:pt>
                <c:pt idx="196">
                  <c:v>0.51266666666666671</c:v>
                </c:pt>
                <c:pt idx="197">
                  <c:v>-1.7507284768211921</c:v>
                </c:pt>
                <c:pt idx="198">
                  <c:v>-4.0381584404811335E-2</c:v>
                </c:pt>
                <c:pt idx="199">
                  <c:v>-0.18622406639004138</c:v>
                </c:pt>
                <c:pt idx="200">
                  <c:v>0.19277992277992284</c:v>
                </c:pt>
                <c:pt idx="201">
                  <c:v>0.47314285714285714</c:v>
                </c:pt>
                <c:pt idx="202">
                  <c:v>0.35092753623188411</c:v>
                </c:pt>
                <c:pt idx="203">
                  <c:v>7.5925925925925926E-3</c:v>
                </c:pt>
                <c:pt idx="204">
                  <c:v>-0.12600000000000003</c:v>
                </c:pt>
                <c:pt idx="205">
                  <c:v>0.73054054054054063</c:v>
                </c:pt>
                <c:pt idx="206">
                  <c:v>0.15807265774378579</c:v>
                </c:pt>
                <c:pt idx="207">
                  <c:v>0.41509293680297399</c:v>
                </c:pt>
                <c:pt idx="208">
                  <c:v>0.30502732240437164</c:v>
                </c:pt>
                <c:pt idx="209">
                  <c:v>0.26414122137404572</c:v>
                </c:pt>
                <c:pt idx="210">
                  <c:v>0.44666666666666666</c:v>
                </c:pt>
                <c:pt idx="211">
                  <c:v>0.51100000000000001</c:v>
                </c:pt>
                <c:pt idx="212">
                  <c:v>0.1875789473684211</c:v>
                </c:pt>
                <c:pt idx="213">
                  <c:v>0.27475423728813564</c:v>
                </c:pt>
                <c:pt idx="214">
                  <c:v>9.5748233782915818E-2</c:v>
                </c:pt>
                <c:pt idx="215">
                  <c:v>0.59796491228070181</c:v>
                </c:pt>
                <c:pt idx="216">
                  <c:v>0.44693430656934302</c:v>
                </c:pt>
                <c:pt idx="217">
                  <c:v>0.16933333333333336</c:v>
                </c:pt>
                <c:pt idx="218">
                  <c:v>0.48970695970695977</c:v>
                </c:pt>
                <c:pt idx="219">
                  <c:v>-0.14730663741086131</c:v>
                </c:pt>
                <c:pt idx="220">
                  <c:v>0.74</c:v>
                </c:pt>
                <c:pt idx="221">
                  <c:v>0.52355102040816326</c:v>
                </c:pt>
                <c:pt idx="222">
                  <c:v>0.42249051833122631</c:v>
                </c:pt>
                <c:pt idx="223">
                  <c:v>0.50981333333333334</c:v>
                </c:pt>
                <c:pt idx="224">
                  <c:v>-4.6511627906976744E-3</c:v>
                </c:pt>
                <c:pt idx="225">
                  <c:v>0.52303509179642105</c:v>
                </c:pt>
                <c:pt idx="226">
                  <c:v>0.36589976133651553</c:v>
                </c:pt>
                <c:pt idx="227">
                  <c:v>0.27111111111111114</c:v>
                </c:pt>
                <c:pt idx="228">
                  <c:v>-0.69333333333333336</c:v>
                </c:pt>
                <c:pt idx="229">
                  <c:v>0.3326680244399185</c:v>
                </c:pt>
                <c:pt idx="230">
                  <c:v>0.44770588235294118</c:v>
                </c:pt>
                <c:pt idx="231">
                  <c:v>0.11102564102564111</c:v>
                </c:pt>
                <c:pt idx="232">
                  <c:v>0.54784374999999996</c:v>
                </c:pt>
                <c:pt idx="233">
                  <c:v>0.49157894736842106</c:v>
                </c:pt>
                <c:pt idx="234">
                  <c:v>0.53027999999999997</c:v>
                </c:pt>
                <c:pt idx="235">
                  <c:v>0.14842105263157895</c:v>
                </c:pt>
                <c:pt idx="236">
                  <c:v>0.40989999999999999</c:v>
                </c:pt>
                <c:pt idx="237">
                  <c:v>0.31288765088207987</c:v>
                </c:pt>
                <c:pt idx="238">
                  <c:v>0.19456058588548603</c:v>
                </c:pt>
                <c:pt idx="239">
                  <c:v>-0.44417266187050364</c:v>
                </c:pt>
                <c:pt idx="240">
                  <c:v>9.2917009038619491E-2</c:v>
                </c:pt>
                <c:pt idx="241">
                  <c:v>-1.0934285714285716</c:v>
                </c:pt>
                <c:pt idx="242">
                  <c:v>4.2693877551020373E-2</c:v>
                </c:pt>
                <c:pt idx="243">
                  <c:v>6.1001826245760546E-2</c:v>
                </c:pt>
                <c:pt idx="244">
                  <c:v>0.39854280510018214</c:v>
                </c:pt>
                <c:pt idx="245">
                  <c:v>0.28425440481306397</c:v>
                </c:pt>
                <c:pt idx="246">
                  <c:v>0.15458333333333332</c:v>
                </c:pt>
                <c:pt idx="247">
                  <c:v>0.24744047619047621</c:v>
                </c:pt>
                <c:pt idx="248">
                  <c:v>0.27642857142857141</c:v>
                </c:pt>
                <c:pt idx="249">
                  <c:v>0.28081543182814556</c:v>
                </c:pt>
                <c:pt idx="250">
                  <c:v>-0.34022988505747126</c:v>
                </c:pt>
                <c:pt idx="251">
                  <c:v>0.53100000000000003</c:v>
                </c:pt>
                <c:pt idx="252">
                  <c:v>6.0401854714064805E-2</c:v>
                </c:pt>
                <c:pt idx="253">
                  <c:v>0.44738775510204076</c:v>
                </c:pt>
                <c:pt idx="254">
                  <c:v>0.28672185430463565</c:v>
                </c:pt>
                <c:pt idx="255">
                  <c:v>0.29008748906386694</c:v>
                </c:pt>
                <c:pt idx="256">
                  <c:v>-2.545454545454504E-3</c:v>
                </c:pt>
                <c:pt idx="257">
                  <c:v>0.15345454545454543</c:v>
                </c:pt>
                <c:pt idx="258">
                  <c:v>0.16199999999999998</c:v>
                </c:pt>
                <c:pt idx="259">
                  <c:v>0.3051428571428571</c:v>
                </c:pt>
                <c:pt idx="260">
                  <c:v>0.38374603174603172</c:v>
                </c:pt>
                <c:pt idx="261">
                  <c:v>0.52197872340425533</c:v>
                </c:pt>
                <c:pt idx="262">
                  <c:v>0.38843702579666156</c:v>
                </c:pt>
                <c:pt idx="263">
                  <c:v>0.22567279767666978</c:v>
                </c:pt>
                <c:pt idx="264">
                  <c:v>0.25137005649717503</c:v>
                </c:pt>
                <c:pt idx="265">
                  <c:v>-7.3333333333327273E-4</c:v>
                </c:pt>
                <c:pt idx="266">
                  <c:v>0.29623529411764699</c:v>
                </c:pt>
                <c:pt idx="267">
                  <c:v>0.42129230769230769</c:v>
                </c:pt>
                <c:pt idx="268">
                  <c:v>0.10599033816425114</c:v>
                </c:pt>
                <c:pt idx="269">
                  <c:v>0.65391304347826085</c:v>
                </c:pt>
                <c:pt idx="270">
                  <c:v>0.10655290102389073</c:v>
                </c:pt>
                <c:pt idx="271">
                  <c:v>0.18657142857142861</c:v>
                </c:pt>
                <c:pt idx="272">
                  <c:v>0.18664285714285717</c:v>
                </c:pt>
                <c:pt idx="273">
                  <c:v>-8.7970297029703021E-2</c:v>
                </c:pt>
                <c:pt idx="274">
                  <c:v>0.52260465116279065</c:v>
                </c:pt>
                <c:pt idx="275">
                  <c:v>-0.40250000000000002</c:v>
                </c:pt>
                <c:pt idx="276">
                  <c:v>0.19004608294930875</c:v>
                </c:pt>
                <c:pt idx="277">
                  <c:v>0.4372571428571429</c:v>
                </c:pt>
                <c:pt idx="278">
                  <c:v>0.26360000000000006</c:v>
                </c:pt>
                <c:pt idx="279">
                  <c:v>-0.20752773375594294</c:v>
                </c:pt>
                <c:pt idx="280">
                  <c:v>9.0196420776953237E-2</c:v>
                </c:pt>
                <c:pt idx="281">
                  <c:v>0.1424347826086956</c:v>
                </c:pt>
                <c:pt idx="282">
                  <c:v>0.42837753510140408</c:v>
                </c:pt>
                <c:pt idx="283">
                  <c:v>8.6999999999999925E-2</c:v>
                </c:pt>
                <c:pt idx="284">
                  <c:v>0.33644230769230765</c:v>
                </c:pt>
                <c:pt idx="285">
                  <c:v>-8.9999999999999969E-2</c:v>
                </c:pt>
                <c:pt idx="286">
                  <c:v>0.32217948717948719</c:v>
                </c:pt>
                <c:pt idx="287">
                  <c:v>-0.19141176470588242</c:v>
                </c:pt>
                <c:pt idx="288">
                  <c:v>0.33757575757575758</c:v>
                </c:pt>
                <c:pt idx="289">
                  <c:v>0.48158844765342962</c:v>
                </c:pt>
                <c:pt idx="290">
                  <c:v>0.4060754716981132</c:v>
                </c:pt>
                <c:pt idx="291">
                  <c:v>0.30310096153846161</c:v>
                </c:pt>
                <c:pt idx="292">
                  <c:v>0.28307858334150887</c:v>
                </c:pt>
                <c:pt idx="293">
                  <c:v>0.44801240372111634</c:v>
                </c:pt>
                <c:pt idx="294">
                  <c:v>0.42</c:v>
                </c:pt>
                <c:pt idx="295">
                  <c:v>-0.11166666666666666</c:v>
                </c:pt>
                <c:pt idx="296">
                  <c:v>0.43327646763672856</c:v>
                </c:pt>
                <c:pt idx="297">
                  <c:v>0.31285714285714283</c:v>
                </c:pt>
                <c:pt idx="298">
                  <c:v>0.34709302325581393</c:v>
                </c:pt>
                <c:pt idx="299">
                  <c:v>0.10790697674418605</c:v>
                </c:pt>
                <c:pt idx="300">
                  <c:v>0.18376778599886176</c:v>
                </c:pt>
                <c:pt idx="301">
                  <c:v>0.21337500000000006</c:v>
                </c:pt>
                <c:pt idx="302">
                  <c:v>0.3287692307692307</c:v>
                </c:pt>
                <c:pt idx="303">
                  <c:v>0.23031705227077975</c:v>
                </c:pt>
                <c:pt idx="304">
                  <c:v>0.14572549019607839</c:v>
                </c:pt>
                <c:pt idx="305">
                  <c:v>9.3091835290788183E-2</c:v>
                </c:pt>
                <c:pt idx="306">
                  <c:v>0.16151079136690646</c:v>
                </c:pt>
                <c:pt idx="307">
                  <c:v>0.14114638447971783</c:v>
                </c:pt>
                <c:pt idx="308">
                  <c:v>0.19955974842767288</c:v>
                </c:pt>
                <c:pt idx="309">
                  <c:v>0.24801393728223003</c:v>
                </c:pt>
                <c:pt idx="310">
                  <c:v>0.22002564102564101</c:v>
                </c:pt>
                <c:pt idx="311">
                  <c:v>0.48012500000000002</c:v>
                </c:pt>
                <c:pt idx="312">
                  <c:v>0.19682015638575148</c:v>
                </c:pt>
                <c:pt idx="313">
                  <c:v>0.33115954664341757</c:v>
                </c:pt>
                <c:pt idx="314">
                  <c:v>0.36821362799263346</c:v>
                </c:pt>
                <c:pt idx="315">
                  <c:v>0.31703703703703701</c:v>
                </c:pt>
                <c:pt idx="316">
                  <c:v>0.24042857142857146</c:v>
                </c:pt>
                <c:pt idx="317">
                  <c:v>3.8025641025641072E-2</c:v>
                </c:pt>
                <c:pt idx="318">
                  <c:v>0.32976789800588419</c:v>
                </c:pt>
                <c:pt idx="319">
                  <c:v>-0.221</c:v>
                </c:pt>
                <c:pt idx="320">
                  <c:v>-2.0888888888888922E-2</c:v>
                </c:pt>
                <c:pt idx="321">
                  <c:v>-0.10236363636363628</c:v>
                </c:pt>
                <c:pt idx="322">
                  <c:v>0.31765957446808513</c:v>
                </c:pt>
                <c:pt idx="323">
                  <c:v>0.23070931849791368</c:v>
                </c:pt>
                <c:pt idx="324">
                  <c:v>0.1678675282714055</c:v>
                </c:pt>
                <c:pt idx="325">
                  <c:v>0.30782399449982811</c:v>
                </c:pt>
                <c:pt idx="326">
                  <c:v>-0.81292307692307708</c:v>
                </c:pt>
                <c:pt idx="327">
                  <c:v>0.1770061213132999</c:v>
                </c:pt>
                <c:pt idx="328">
                  <c:v>0.23560117302052788</c:v>
                </c:pt>
                <c:pt idx="329">
                  <c:v>0.11075659202332054</c:v>
                </c:pt>
                <c:pt idx="330">
                  <c:v>0.33425763062596991</c:v>
                </c:pt>
                <c:pt idx="331">
                  <c:v>0.39306122448979591</c:v>
                </c:pt>
                <c:pt idx="332">
                  <c:v>0.36849999999999999</c:v>
                </c:pt>
                <c:pt idx="333">
                  <c:v>0.17972151898734179</c:v>
                </c:pt>
                <c:pt idx="334">
                  <c:v>0.43660606060606061</c:v>
                </c:pt>
                <c:pt idx="335">
                  <c:v>0.35922580645161289</c:v>
                </c:pt>
                <c:pt idx="336">
                  <c:v>0.18740248962655609</c:v>
                </c:pt>
                <c:pt idx="337">
                  <c:v>9.5603448275862105E-2</c:v>
                </c:pt>
                <c:pt idx="338">
                  <c:v>0.44420000000000004</c:v>
                </c:pt>
                <c:pt idx="339">
                  <c:v>0.20683019896429536</c:v>
                </c:pt>
                <c:pt idx="340">
                  <c:v>0.21834833989870561</c:v>
                </c:pt>
                <c:pt idx="341">
                  <c:v>0.34358271865121182</c:v>
                </c:pt>
                <c:pt idx="342">
                  <c:v>0.22820779220779219</c:v>
                </c:pt>
                <c:pt idx="343">
                  <c:v>0.2994230769230769</c:v>
                </c:pt>
                <c:pt idx="344">
                  <c:v>0.36840740740740741</c:v>
                </c:pt>
                <c:pt idx="345">
                  <c:v>0.25944444444444437</c:v>
                </c:pt>
                <c:pt idx="346">
                  <c:v>6.8631578947368474E-2</c:v>
                </c:pt>
                <c:pt idx="347">
                  <c:v>-0.16479123887748132</c:v>
                </c:pt>
                <c:pt idx="348">
                  <c:v>0.31194448825106452</c:v>
                </c:pt>
                <c:pt idx="349">
                  <c:v>0.35866112154547897</c:v>
                </c:pt>
                <c:pt idx="350">
                  <c:v>0.44858333333333333</c:v>
                </c:pt>
                <c:pt idx="351">
                  <c:v>0.18002327901563017</c:v>
                </c:pt>
                <c:pt idx="352">
                  <c:v>-8.7444444444444491E-2</c:v>
                </c:pt>
                <c:pt idx="353">
                  <c:v>0.18477477477477477</c:v>
                </c:pt>
                <c:pt idx="354">
                  <c:v>0.36153708668453971</c:v>
                </c:pt>
                <c:pt idx="355">
                  <c:v>0.13460869565217387</c:v>
                </c:pt>
                <c:pt idx="356">
                  <c:v>0.53457971014492756</c:v>
                </c:pt>
                <c:pt idx="357">
                  <c:v>0.21468978682787132</c:v>
                </c:pt>
                <c:pt idx="358">
                  <c:v>0.11354153653966266</c:v>
                </c:pt>
                <c:pt idx="359">
                  <c:v>0.41515701325889737</c:v>
                </c:pt>
                <c:pt idx="360">
                  <c:v>0.10969785008715861</c:v>
                </c:pt>
                <c:pt idx="361">
                  <c:v>-0.31324675324675333</c:v>
                </c:pt>
                <c:pt idx="362">
                  <c:v>0.19432926829268293</c:v>
                </c:pt>
                <c:pt idx="363">
                  <c:v>0.53469135802469137</c:v>
                </c:pt>
                <c:pt idx="364">
                  <c:v>0.18834635416666667</c:v>
                </c:pt>
                <c:pt idx="365">
                  <c:v>-1.2314090909090911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7-9340-91C7-76F5B81F95F9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Finished_Jobs!$F$1:$F$367</c:f>
              <c:numCache>
                <c:formatCode>General</c:formatCode>
                <c:ptCount val="367"/>
                <c:pt idx="0">
                  <c:v>0</c:v>
                </c:pt>
                <c:pt idx="1">
                  <c:v>521</c:v>
                </c:pt>
                <c:pt idx="2">
                  <c:v>672</c:v>
                </c:pt>
                <c:pt idx="3">
                  <c:v>200</c:v>
                </c:pt>
                <c:pt idx="4">
                  <c:v>532</c:v>
                </c:pt>
                <c:pt idx="5">
                  <c:v>25</c:v>
                </c:pt>
                <c:pt idx="6">
                  <c:v>755</c:v>
                </c:pt>
                <c:pt idx="7">
                  <c:v>161</c:v>
                </c:pt>
                <c:pt idx="8">
                  <c:v>521</c:v>
                </c:pt>
                <c:pt idx="9">
                  <c:v>1364</c:v>
                </c:pt>
                <c:pt idx="10">
                  <c:v>110</c:v>
                </c:pt>
                <c:pt idx="11">
                  <c:v>606</c:v>
                </c:pt>
                <c:pt idx="12">
                  <c:v>101</c:v>
                </c:pt>
                <c:pt idx="13">
                  <c:v>86</c:v>
                </c:pt>
                <c:pt idx="14">
                  <c:v>1306</c:v>
                </c:pt>
                <c:pt idx="15">
                  <c:v>202</c:v>
                </c:pt>
                <c:pt idx="16">
                  <c:v>60</c:v>
                </c:pt>
                <c:pt idx="17">
                  <c:v>274</c:v>
                </c:pt>
                <c:pt idx="18">
                  <c:v>1386</c:v>
                </c:pt>
                <c:pt idx="19">
                  <c:v>270</c:v>
                </c:pt>
                <c:pt idx="20">
                  <c:v>495</c:v>
                </c:pt>
                <c:pt idx="21">
                  <c:v>752</c:v>
                </c:pt>
                <c:pt idx="22">
                  <c:v>634</c:v>
                </c:pt>
                <c:pt idx="23">
                  <c:v>371</c:v>
                </c:pt>
                <c:pt idx="24">
                  <c:v>155</c:v>
                </c:pt>
                <c:pt idx="25">
                  <c:v>160</c:v>
                </c:pt>
                <c:pt idx="26">
                  <c:v>921</c:v>
                </c:pt>
                <c:pt idx="27">
                  <c:v>743</c:v>
                </c:pt>
                <c:pt idx="28">
                  <c:v>1355</c:v>
                </c:pt>
                <c:pt idx="29">
                  <c:v>155</c:v>
                </c:pt>
                <c:pt idx="30">
                  <c:v>567</c:v>
                </c:pt>
                <c:pt idx="31">
                  <c:v>360</c:v>
                </c:pt>
                <c:pt idx="32">
                  <c:v>245</c:v>
                </c:pt>
                <c:pt idx="33">
                  <c:v>403</c:v>
                </c:pt>
                <c:pt idx="34">
                  <c:v>45</c:v>
                </c:pt>
                <c:pt idx="35">
                  <c:v>101</c:v>
                </c:pt>
                <c:pt idx="36">
                  <c:v>147</c:v>
                </c:pt>
                <c:pt idx="37">
                  <c:v>1990</c:v>
                </c:pt>
                <c:pt idx="38">
                  <c:v>740</c:v>
                </c:pt>
                <c:pt idx="39">
                  <c:v>170</c:v>
                </c:pt>
                <c:pt idx="40">
                  <c:v>70</c:v>
                </c:pt>
                <c:pt idx="41">
                  <c:v>102</c:v>
                </c:pt>
                <c:pt idx="42">
                  <c:v>565</c:v>
                </c:pt>
                <c:pt idx="43">
                  <c:v>170</c:v>
                </c:pt>
                <c:pt idx="44">
                  <c:v>164</c:v>
                </c:pt>
                <c:pt idx="45">
                  <c:v>140</c:v>
                </c:pt>
                <c:pt idx="46">
                  <c:v>30</c:v>
                </c:pt>
                <c:pt idx="47">
                  <c:v>271</c:v>
                </c:pt>
                <c:pt idx="48">
                  <c:v>241</c:v>
                </c:pt>
                <c:pt idx="49">
                  <c:v>62</c:v>
                </c:pt>
                <c:pt idx="50">
                  <c:v>432</c:v>
                </c:pt>
                <c:pt idx="51">
                  <c:v>1023</c:v>
                </c:pt>
                <c:pt idx="52">
                  <c:v>768</c:v>
                </c:pt>
                <c:pt idx="53">
                  <c:v>40</c:v>
                </c:pt>
                <c:pt idx="54">
                  <c:v>56</c:v>
                </c:pt>
                <c:pt idx="55">
                  <c:v>255</c:v>
                </c:pt>
                <c:pt idx="56">
                  <c:v>333</c:v>
                </c:pt>
                <c:pt idx="57">
                  <c:v>642</c:v>
                </c:pt>
                <c:pt idx="58">
                  <c:v>157</c:v>
                </c:pt>
                <c:pt idx="59">
                  <c:v>150</c:v>
                </c:pt>
                <c:pt idx="60">
                  <c:v>92</c:v>
                </c:pt>
                <c:pt idx="61">
                  <c:v>368</c:v>
                </c:pt>
                <c:pt idx="62">
                  <c:v>755</c:v>
                </c:pt>
                <c:pt idx="63">
                  <c:v>554</c:v>
                </c:pt>
                <c:pt idx="64">
                  <c:v>50</c:v>
                </c:pt>
                <c:pt idx="65">
                  <c:v>523</c:v>
                </c:pt>
                <c:pt idx="66">
                  <c:v>170</c:v>
                </c:pt>
                <c:pt idx="67">
                  <c:v>135</c:v>
                </c:pt>
                <c:pt idx="68">
                  <c:v>200</c:v>
                </c:pt>
                <c:pt idx="69">
                  <c:v>353</c:v>
                </c:pt>
                <c:pt idx="70">
                  <c:v>1705</c:v>
                </c:pt>
                <c:pt idx="71">
                  <c:v>237</c:v>
                </c:pt>
                <c:pt idx="72">
                  <c:v>237</c:v>
                </c:pt>
                <c:pt idx="73">
                  <c:v>658</c:v>
                </c:pt>
                <c:pt idx="74">
                  <c:v>232</c:v>
                </c:pt>
                <c:pt idx="75">
                  <c:v>530</c:v>
                </c:pt>
                <c:pt idx="76">
                  <c:v>157</c:v>
                </c:pt>
                <c:pt idx="77">
                  <c:v>110</c:v>
                </c:pt>
                <c:pt idx="78">
                  <c:v>227</c:v>
                </c:pt>
                <c:pt idx="79">
                  <c:v>70</c:v>
                </c:pt>
                <c:pt idx="80">
                  <c:v>39</c:v>
                </c:pt>
                <c:pt idx="81">
                  <c:v>160</c:v>
                </c:pt>
                <c:pt idx="82">
                  <c:v>569</c:v>
                </c:pt>
                <c:pt idx="83">
                  <c:v>117</c:v>
                </c:pt>
                <c:pt idx="84">
                  <c:v>170</c:v>
                </c:pt>
                <c:pt idx="85">
                  <c:v>60</c:v>
                </c:pt>
                <c:pt idx="86">
                  <c:v>355</c:v>
                </c:pt>
                <c:pt idx="87">
                  <c:v>569</c:v>
                </c:pt>
                <c:pt idx="88">
                  <c:v>170</c:v>
                </c:pt>
                <c:pt idx="89">
                  <c:v>1477</c:v>
                </c:pt>
                <c:pt idx="90">
                  <c:v>1458</c:v>
                </c:pt>
                <c:pt idx="91">
                  <c:v>40</c:v>
                </c:pt>
                <c:pt idx="92">
                  <c:v>334</c:v>
                </c:pt>
                <c:pt idx="93">
                  <c:v>40</c:v>
                </c:pt>
                <c:pt idx="94">
                  <c:v>117</c:v>
                </c:pt>
                <c:pt idx="95">
                  <c:v>1728</c:v>
                </c:pt>
                <c:pt idx="96">
                  <c:v>1298</c:v>
                </c:pt>
                <c:pt idx="97">
                  <c:v>122</c:v>
                </c:pt>
                <c:pt idx="98">
                  <c:v>440</c:v>
                </c:pt>
                <c:pt idx="99">
                  <c:v>401</c:v>
                </c:pt>
                <c:pt idx="100">
                  <c:v>225</c:v>
                </c:pt>
                <c:pt idx="101">
                  <c:v>80</c:v>
                </c:pt>
                <c:pt idx="102">
                  <c:v>260</c:v>
                </c:pt>
                <c:pt idx="103">
                  <c:v>213</c:v>
                </c:pt>
                <c:pt idx="104">
                  <c:v>250</c:v>
                </c:pt>
                <c:pt idx="105">
                  <c:v>243</c:v>
                </c:pt>
                <c:pt idx="106">
                  <c:v>497</c:v>
                </c:pt>
                <c:pt idx="107">
                  <c:v>170</c:v>
                </c:pt>
                <c:pt idx="108">
                  <c:v>370</c:v>
                </c:pt>
                <c:pt idx="109">
                  <c:v>80</c:v>
                </c:pt>
                <c:pt idx="110">
                  <c:v>102</c:v>
                </c:pt>
                <c:pt idx="111">
                  <c:v>137</c:v>
                </c:pt>
                <c:pt idx="112">
                  <c:v>65</c:v>
                </c:pt>
                <c:pt idx="113">
                  <c:v>205</c:v>
                </c:pt>
                <c:pt idx="114">
                  <c:v>154</c:v>
                </c:pt>
                <c:pt idx="115">
                  <c:v>50</c:v>
                </c:pt>
                <c:pt idx="116">
                  <c:v>1282</c:v>
                </c:pt>
                <c:pt idx="117">
                  <c:v>227</c:v>
                </c:pt>
                <c:pt idx="118">
                  <c:v>131</c:v>
                </c:pt>
                <c:pt idx="119">
                  <c:v>680</c:v>
                </c:pt>
                <c:pt idx="120">
                  <c:v>161</c:v>
                </c:pt>
                <c:pt idx="121">
                  <c:v>516</c:v>
                </c:pt>
                <c:pt idx="122">
                  <c:v>456</c:v>
                </c:pt>
                <c:pt idx="123">
                  <c:v>865</c:v>
                </c:pt>
                <c:pt idx="124">
                  <c:v>168</c:v>
                </c:pt>
                <c:pt idx="125">
                  <c:v>210</c:v>
                </c:pt>
                <c:pt idx="126">
                  <c:v>126</c:v>
                </c:pt>
                <c:pt idx="127">
                  <c:v>313</c:v>
                </c:pt>
                <c:pt idx="128">
                  <c:v>161</c:v>
                </c:pt>
                <c:pt idx="129">
                  <c:v>500</c:v>
                </c:pt>
                <c:pt idx="130">
                  <c:v>329</c:v>
                </c:pt>
                <c:pt idx="131">
                  <c:v>50</c:v>
                </c:pt>
                <c:pt idx="132">
                  <c:v>222</c:v>
                </c:pt>
                <c:pt idx="133">
                  <c:v>50</c:v>
                </c:pt>
                <c:pt idx="134">
                  <c:v>195</c:v>
                </c:pt>
                <c:pt idx="135">
                  <c:v>120</c:v>
                </c:pt>
                <c:pt idx="136">
                  <c:v>50</c:v>
                </c:pt>
                <c:pt idx="137">
                  <c:v>80</c:v>
                </c:pt>
                <c:pt idx="138">
                  <c:v>545</c:v>
                </c:pt>
                <c:pt idx="139">
                  <c:v>15</c:v>
                </c:pt>
                <c:pt idx="140">
                  <c:v>50</c:v>
                </c:pt>
                <c:pt idx="141">
                  <c:v>120</c:v>
                </c:pt>
                <c:pt idx="142">
                  <c:v>0</c:v>
                </c:pt>
                <c:pt idx="143">
                  <c:v>78</c:v>
                </c:pt>
                <c:pt idx="144">
                  <c:v>50</c:v>
                </c:pt>
                <c:pt idx="145">
                  <c:v>234</c:v>
                </c:pt>
                <c:pt idx="146">
                  <c:v>258</c:v>
                </c:pt>
                <c:pt idx="147">
                  <c:v>192</c:v>
                </c:pt>
                <c:pt idx="148">
                  <c:v>235</c:v>
                </c:pt>
                <c:pt idx="149">
                  <c:v>990</c:v>
                </c:pt>
                <c:pt idx="150">
                  <c:v>128</c:v>
                </c:pt>
                <c:pt idx="151">
                  <c:v>734</c:v>
                </c:pt>
                <c:pt idx="152">
                  <c:v>570</c:v>
                </c:pt>
                <c:pt idx="153">
                  <c:v>52</c:v>
                </c:pt>
                <c:pt idx="154">
                  <c:v>131</c:v>
                </c:pt>
                <c:pt idx="155">
                  <c:v>128</c:v>
                </c:pt>
                <c:pt idx="156">
                  <c:v>696</c:v>
                </c:pt>
                <c:pt idx="157">
                  <c:v>29</c:v>
                </c:pt>
                <c:pt idx="158">
                  <c:v>714</c:v>
                </c:pt>
                <c:pt idx="159">
                  <c:v>209</c:v>
                </c:pt>
                <c:pt idx="160">
                  <c:v>160</c:v>
                </c:pt>
                <c:pt idx="161">
                  <c:v>406</c:v>
                </c:pt>
                <c:pt idx="162">
                  <c:v>84</c:v>
                </c:pt>
                <c:pt idx="163">
                  <c:v>40</c:v>
                </c:pt>
                <c:pt idx="164">
                  <c:v>1353</c:v>
                </c:pt>
                <c:pt idx="165">
                  <c:v>62</c:v>
                </c:pt>
                <c:pt idx="166">
                  <c:v>102</c:v>
                </c:pt>
                <c:pt idx="167">
                  <c:v>234</c:v>
                </c:pt>
                <c:pt idx="168">
                  <c:v>40</c:v>
                </c:pt>
                <c:pt idx="169">
                  <c:v>179</c:v>
                </c:pt>
                <c:pt idx="170">
                  <c:v>784</c:v>
                </c:pt>
                <c:pt idx="171">
                  <c:v>499</c:v>
                </c:pt>
                <c:pt idx="172">
                  <c:v>40</c:v>
                </c:pt>
                <c:pt idx="173">
                  <c:v>103</c:v>
                </c:pt>
                <c:pt idx="174">
                  <c:v>117</c:v>
                </c:pt>
                <c:pt idx="175">
                  <c:v>89</c:v>
                </c:pt>
                <c:pt idx="176">
                  <c:v>114</c:v>
                </c:pt>
                <c:pt idx="177">
                  <c:v>227</c:v>
                </c:pt>
                <c:pt idx="178">
                  <c:v>339</c:v>
                </c:pt>
                <c:pt idx="179">
                  <c:v>144</c:v>
                </c:pt>
                <c:pt idx="180">
                  <c:v>120</c:v>
                </c:pt>
                <c:pt idx="181">
                  <c:v>222</c:v>
                </c:pt>
                <c:pt idx="182">
                  <c:v>1156</c:v>
                </c:pt>
                <c:pt idx="183">
                  <c:v>101</c:v>
                </c:pt>
                <c:pt idx="184">
                  <c:v>80</c:v>
                </c:pt>
                <c:pt idx="185">
                  <c:v>431</c:v>
                </c:pt>
                <c:pt idx="186">
                  <c:v>470</c:v>
                </c:pt>
                <c:pt idx="187">
                  <c:v>323</c:v>
                </c:pt>
                <c:pt idx="188">
                  <c:v>85</c:v>
                </c:pt>
                <c:pt idx="189">
                  <c:v>78</c:v>
                </c:pt>
                <c:pt idx="190">
                  <c:v>37</c:v>
                </c:pt>
                <c:pt idx="191">
                  <c:v>1825</c:v>
                </c:pt>
                <c:pt idx="192">
                  <c:v>484</c:v>
                </c:pt>
                <c:pt idx="193">
                  <c:v>636</c:v>
                </c:pt>
                <c:pt idx="194">
                  <c:v>316</c:v>
                </c:pt>
                <c:pt idx="195">
                  <c:v>221</c:v>
                </c:pt>
                <c:pt idx="196">
                  <c:v>1419</c:v>
                </c:pt>
                <c:pt idx="197">
                  <c:v>62</c:v>
                </c:pt>
                <c:pt idx="198">
                  <c:v>362</c:v>
                </c:pt>
                <c:pt idx="199">
                  <c:v>495</c:v>
                </c:pt>
                <c:pt idx="200">
                  <c:v>301</c:v>
                </c:pt>
                <c:pt idx="201">
                  <c:v>636</c:v>
                </c:pt>
                <c:pt idx="202">
                  <c:v>120</c:v>
                </c:pt>
                <c:pt idx="203">
                  <c:v>1079</c:v>
                </c:pt>
                <c:pt idx="204">
                  <c:v>1005</c:v>
                </c:pt>
                <c:pt idx="205">
                  <c:v>68</c:v>
                </c:pt>
                <c:pt idx="206">
                  <c:v>35</c:v>
                </c:pt>
                <c:pt idx="207">
                  <c:v>2767</c:v>
                </c:pt>
                <c:pt idx="208">
                  <c:v>68</c:v>
                </c:pt>
                <c:pt idx="209">
                  <c:v>72</c:v>
                </c:pt>
                <c:pt idx="210">
                  <c:v>117</c:v>
                </c:pt>
                <c:pt idx="211">
                  <c:v>40</c:v>
                </c:pt>
                <c:pt idx="212">
                  <c:v>202</c:v>
                </c:pt>
                <c:pt idx="213">
                  <c:v>218</c:v>
                </c:pt>
                <c:pt idx="214">
                  <c:v>1459</c:v>
                </c:pt>
                <c:pt idx="215">
                  <c:v>1213</c:v>
                </c:pt>
                <c:pt idx="216">
                  <c:v>184</c:v>
                </c:pt>
                <c:pt idx="217">
                  <c:v>960</c:v>
                </c:pt>
                <c:pt idx="218">
                  <c:v>158</c:v>
                </c:pt>
                <c:pt idx="219">
                  <c:v>303</c:v>
                </c:pt>
                <c:pt idx="220">
                  <c:v>1748</c:v>
                </c:pt>
                <c:pt idx="222">
                  <c:v>346</c:v>
                </c:pt>
                <c:pt idx="223">
                  <c:v>243</c:v>
                </c:pt>
                <c:pt idx="224">
                  <c:v>212</c:v>
                </c:pt>
                <c:pt idx="225">
                  <c:v>510</c:v>
                </c:pt>
                <c:pt idx="226">
                  <c:v>1152</c:v>
                </c:pt>
                <c:pt idx="227">
                  <c:v>1767</c:v>
                </c:pt>
                <c:pt idx="228">
                  <c:v>0</c:v>
                </c:pt>
                <c:pt idx="229">
                  <c:v>50</c:v>
                </c:pt>
                <c:pt idx="230">
                  <c:v>150</c:v>
                </c:pt>
                <c:pt idx="231">
                  <c:v>129</c:v>
                </c:pt>
                <c:pt idx="232">
                  <c:v>219</c:v>
                </c:pt>
                <c:pt idx="233">
                  <c:v>559</c:v>
                </c:pt>
                <c:pt idx="234">
                  <c:v>750</c:v>
                </c:pt>
                <c:pt idx="235">
                  <c:v>176</c:v>
                </c:pt>
                <c:pt idx="236">
                  <c:v>210</c:v>
                </c:pt>
                <c:pt idx="237">
                  <c:v>282</c:v>
                </c:pt>
                <c:pt idx="238">
                  <c:v>400</c:v>
                </c:pt>
                <c:pt idx="239">
                  <c:v>435</c:v>
                </c:pt>
                <c:pt idx="240">
                  <c:v>72</c:v>
                </c:pt>
                <c:pt idx="241">
                  <c:v>125</c:v>
                </c:pt>
                <c:pt idx="242">
                  <c:v>297</c:v>
                </c:pt>
                <c:pt idx="243">
                  <c:v>788</c:v>
                </c:pt>
                <c:pt idx="244">
                  <c:v>616</c:v>
                </c:pt>
                <c:pt idx="245">
                  <c:v>243</c:v>
                </c:pt>
                <c:pt idx="246">
                  <c:v>1136</c:v>
                </c:pt>
                <c:pt idx="247">
                  <c:v>275</c:v>
                </c:pt>
                <c:pt idx="248">
                  <c:v>650</c:v>
                </c:pt>
                <c:pt idx="249">
                  <c:v>457</c:v>
                </c:pt>
                <c:pt idx="250">
                  <c:v>702</c:v>
                </c:pt>
                <c:pt idx="251">
                  <c:v>109</c:v>
                </c:pt>
                <c:pt idx="252">
                  <c:v>285</c:v>
                </c:pt>
                <c:pt idx="253">
                  <c:v>127</c:v>
                </c:pt>
                <c:pt idx="254">
                  <c:v>129</c:v>
                </c:pt>
                <c:pt idx="255">
                  <c:v>199</c:v>
                </c:pt>
                <c:pt idx="256">
                  <c:v>185</c:v>
                </c:pt>
                <c:pt idx="257">
                  <c:v>22</c:v>
                </c:pt>
                <c:pt idx="258">
                  <c:v>254</c:v>
                </c:pt>
                <c:pt idx="259">
                  <c:v>88</c:v>
                </c:pt>
                <c:pt idx="260">
                  <c:v>106</c:v>
                </c:pt>
                <c:pt idx="261">
                  <c:v>402</c:v>
                </c:pt>
                <c:pt idx="262">
                  <c:v>327</c:v>
                </c:pt>
                <c:pt idx="263">
                  <c:v>244</c:v>
                </c:pt>
                <c:pt idx="264">
                  <c:v>483</c:v>
                </c:pt>
                <c:pt idx="265">
                  <c:v>229</c:v>
                </c:pt>
                <c:pt idx="266">
                  <c:v>481</c:v>
                </c:pt>
                <c:pt idx="267">
                  <c:v>104</c:v>
                </c:pt>
                <c:pt idx="268">
                  <c:v>89</c:v>
                </c:pt>
                <c:pt idx="269">
                  <c:v>284</c:v>
                </c:pt>
                <c:pt idx="270">
                  <c:v>180</c:v>
                </c:pt>
                <c:pt idx="271">
                  <c:v>230</c:v>
                </c:pt>
                <c:pt idx="272">
                  <c:v>134</c:v>
                </c:pt>
                <c:pt idx="273">
                  <c:v>631</c:v>
                </c:pt>
                <c:pt idx="274">
                  <c:v>45</c:v>
                </c:pt>
                <c:pt idx="275">
                  <c:v>134</c:v>
                </c:pt>
                <c:pt idx="276">
                  <c:v>170</c:v>
                </c:pt>
                <c:pt idx="277">
                  <c:v>235</c:v>
                </c:pt>
                <c:pt idx="278">
                  <c:v>118</c:v>
                </c:pt>
                <c:pt idx="279">
                  <c:v>93</c:v>
                </c:pt>
                <c:pt idx="280">
                  <c:v>1799</c:v>
                </c:pt>
                <c:pt idx="281">
                  <c:v>517</c:v>
                </c:pt>
                <c:pt idx="282">
                  <c:v>252</c:v>
                </c:pt>
                <c:pt idx="283">
                  <c:v>45</c:v>
                </c:pt>
                <c:pt idx="284">
                  <c:v>199</c:v>
                </c:pt>
                <c:pt idx="285">
                  <c:v>67</c:v>
                </c:pt>
                <c:pt idx="286">
                  <c:v>158</c:v>
                </c:pt>
                <c:pt idx="287">
                  <c:v>1320</c:v>
                </c:pt>
                <c:pt idx="288">
                  <c:v>177</c:v>
                </c:pt>
                <c:pt idx="289">
                  <c:v>120</c:v>
                </c:pt>
                <c:pt idx="290">
                  <c:v>189</c:v>
                </c:pt>
                <c:pt idx="291">
                  <c:v>359</c:v>
                </c:pt>
                <c:pt idx="292">
                  <c:v>35</c:v>
                </c:pt>
                <c:pt idx="293">
                  <c:v>784</c:v>
                </c:pt>
                <c:pt idx="294">
                  <c:v>1490</c:v>
                </c:pt>
                <c:pt idx="295">
                  <c:v>50</c:v>
                </c:pt>
                <c:pt idx="296">
                  <c:v>45</c:v>
                </c:pt>
                <c:pt idx="297">
                  <c:v>183</c:v>
                </c:pt>
                <c:pt idx="298">
                  <c:v>45</c:v>
                </c:pt>
                <c:pt idx="299">
                  <c:v>167</c:v>
                </c:pt>
                <c:pt idx="300">
                  <c:v>75</c:v>
                </c:pt>
                <c:pt idx="301">
                  <c:v>243</c:v>
                </c:pt>
                <c:pt idx="302">
                  <c:v>83</c:v>
                </c:pt>
                <c:pt idx="303">
                  <c:v>1266</c:v>
                </c:pt>
                <c:pt idx="304">
                  <c:v>68</c:v>
                </c:pt>
                <c:pt idx="305">
                  <c:v>207</c:v>
                </c:pt>
                <c:pt idx="306">
                  <c:v>987</c:v>
                </c:pt>
                <c:pt idx="307">
                  <c:v>543</c:v>
                </c:pt>
                <c:pt idx="308">
                  <c:v>405</c:v>
                </c:pt>
                <c:pt idx="309">
                  <c:v>889</c:v>
                </c:pt>
                <c:pt idx="310">
                  <c:v>320</c:v>
                </c:pt>
                <c:pt idx="311">
                  <c:v>689</c:v>
                </c:pt>
                <c:pt idx="312">
                  <c:v>189</c:v>
                </c:pt>
                <c:pt idx="313">
                  <c:v>364</c:v>
                </c:pt>
                <c:pt idx="314">
                  <c:v>467</c:v>
                </c:pt>
                <c:pt idx="315">
                  <c:v>508</c:v>
                </c:pt>
                <c:pt idx="316">
                  <c:v>337</c:v>
                </c:pt>
                <c:pt idx="317">
                  <c:v>231</c:v>
                </c:pt>
                <c:pt idx="318">
                  <c:v>777</c:v>
                </c:pt>
                <c:pt idx="319">
                  <c:v>39</c:v>
                </c:pt>
                <c:pt idx="320">
                  <c:v>360</c:v>
                </c:pt>
                <c:pt idx="321">
                  <c:v>372</c:v>
                </c:pt>
                <c:pt idx="322">
                  <c:v>266</c:v>
                </c:pt>
                <c:pt idx="323">
                  <c:v>275</c:v>
                </c:pt>
                <c:pt idx="324">
                  <c:v>529</c:v>
                </c:pt>
                <c:pt idx="325">
                  <c:v>519</c:v>
                </c:pt>
                <c:pt idx="326">
                  <c:v>412</c:v>
                </c:pt>
                <c:pt idx="327">
                  <c:v>77</c:v>
                </c:pt>
                <c:pt idx="328">
                  <c:v>227</c:v>
                </c:pt>
                <c:pt idx="329">
                  <c:v>180</c:v>
                </c:pt>
                <c:pt idx="330">
                  <c:v>1099</c:v>
                </c:pt>
                <c:pt idx="331">
                  <c:v>406</c:v>
                </c:pt>
                <c:pt idx="332">
                  <c:v>120</c:v>
                </c:pt>
                <c:pt idx="333">
                  <c:v>221</c:v>
                </c:pt>
                <c:pt idx="334">
                  <c:v>601</c:v>
                </c:pt>
                <c:pt idx="335">
                  <c:v>232</c:v>
                </c:pt>
                <c:pt idx="336">
                  <c:v>122</c:v>
                </c:pt>
                <c:pt idx="337">
                  <c:v>614</c:v>
                </c:pt>
                <c:pt idx="338">
                  <c:v>45</c:v>
                </c:pt>
                <c:pt idx="339">
                  <c:v>178</c:v>
                </c:pt>
                <c:pt idx="340">
                  <c:v>864</c:v>
                </c:pt>
                <c:pt idx="341">
                  <c:v>519</c:v>
                </c:pt>
                <c:pt idx="342">
                  <c:v>326</c:v>
                </c:pt>
                <c:pt idx="343">
                  <c:v>434</c:v>
                </c:pt>
                <c:pt idx="344">
                  <c:v>895</c:v>
                </c:pt>
                <c:pt idx="345">
                  <c:v>223</c:v>
                </c:pt>
                <c:pt idx="347">
                  <c:v>198</c:v>
                </c:pt>
                <c:pt idx="348">
                  <c:v>509</c:v>
                </c:pt>
                <c:pt idx="349">
                  <c:v>763</c:v>
                </c:pt>
                <c:pt idx="350">
                  <c:v>1325</c:v>
                </c:pt>
                <c:pt idx="351">
                  <c:v>281</c:v>
                </c:pt>
                <c:pt idx="352">
                  <c:v>707</c:v>
                </c:pt>
                <c:pt idx="353">
                  <c:v>177</c:v>
                </c:pt>
                <c:pt idx="354">
                  <c:v>715</c:v>
                </c:pt>
                <c:pt idx="355">
                  <c:v>75</c:v>
                </c:pt>
                <c:pt idx="356">
                  <c:v>292</c:v>
                </c:pt>
                <c:pt idx="357">
                  <c:v>267</c:v>
                </c:pt>
                <c:pt idx="358">
                  <c:v>1021</c:v>
                </c:pt>
                <c:pt idx="359">
                  <c:v>1308</c:v>
                </c:pt>
                <c:pt idx="360">
                  <c:v>125</c:v>
                </c:pt>
                <c:pt idx="361">
                  <c:v>1320</c:v>
                </c:pt>
                <c:pt idx="362">
                  <c:v>75</c:v>
                </c:pt>
                <c:pt idx="363">
                  <c:v>875</c:v>
                </c:pt>
                <c:pt idx="364">
                  <c:v>209</c:v>
                </c:pt>
                <c:pt idx="365">
                  <c:v>1337</c:v>
                </c:pt>
                <c:pt idx="366">
                  <c:v>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7C49-83FF-B01D043E2E02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Finished_Jobs!$G$1:$G$367</c:f>
              <c:numCache>
                <c:formatCode>General</c:formatCode>
                <c:ptCount val="367"/>
                <c:pt idx="0">
                  <c:v>0</c:v>
                </c:pt>
                <c:pt idx="1">
                  <c:v>782</c:v>
                </c:pt>
                <c:pt idx="2">
                  <c:v>1604</c:v>
                </c:pt>
                <c:pt idx="3">
                  <c:v>805</c:v>
                </c:pt>
                <c:pt idx="4">
                  <c:v>2146</c:v>
                </c:pt>
                <c:pt idx="5">
                  <c:v>271</c:v>
                </c:pt>
                <c:pt idx="6">
                  <c:v>1218</c:v>
                </c:pt>
                <c:pt idx="7">
                  <c:v>355</c:v>
                </c:pt>
                <c:pt idx="8">
                  <c:v>1848</c:v>
                </c:pt>
                <c:pt idx="9">
                  <c:v>2395</c:v>
                </c:pt>
                <c:pt idx="10">
                  <c:v>466</c:v>
                </c:pt>
                <c:pt idx="11">
                  <c:v>1063</c:v>
                </c:pt>
                <c:pt idx="12">
                  <c:v>491</c:v>
                </c:pt>
                <c:pt idx="13">
                  <c:v>181</c:v>
                </c:pt>
                <c:pt idx="14">
                  <c:v>2321</c:v>
                </c:pt>
                <c:pt idx="15">
                  <c:v>349</c:v>
                </c:pt>
                <c:pt idx="16">
                  <c:v>170</c:v>
                </c:pt>
                <c:pt idx="17">
                  <c:v>1258</c:v>
                </c:pt>
                <c:pt idx="18">
                  <c:v>2385</c:v>
                </c:pt>
                <c:pt idx="19">
                  <c:v>1592</c:v>
                </c:pt>
                <c:pt idx="20">
                  <c:v>687</c:v>
                </c:pt>
                <c:pt idx="21">
                  <c:v>1321</c:v>
                </c:pt>
                <c:pt idx="22">
                  <c:v>822</c:v>
                </c:pt>
                <c:pt idx="23">
                  <c:v>738</c:v>
                </c:pt>
                <c:pt idx="24">
                  <c:v>342</c:v>
                </c:pt>
                <c:pt idx="25">
                  <c:v>323</c:v>
                </c:pt>
                <c:pt idx="26">
                  <c:v>1746</c:v>
                </c:pt>
                <c:pt idx="27">
                  <c:v>745</c:v>
                </c:pt>
                <c:pt idx="28">
                  <c:v>2665</c:v>
                </c:pt>
                <c:pt idx="29">
                  <c:v>376</c:v>
                </c:pt>
                <c:pt idx="30">
                  <c:v>979</c:v>
                </c:pt>
                <c:pt idx="31">
                  <c:v>666</c:v>
                </c:pt>
                <c:pt idx="32">
                  <c:v>724</c:v>
                </c:pt>
                <c:pt idx="33">
                  <c:v>683</c:v>
                </c:pt>
                <c:pt idx="34">
                  <c:v>234</c:v>
                </c:pt>
                <c:pt idx="35">
                  <c:v>364</c:v>
                </c:pt>
                <c:pt idx="36">
                  <c:v>328</c:v>
                </c:pt>
                <c:pt idx="37">
                  <c:v>5502</c:v>
                </c:pt>
                <c:pt idx="38">
                  <c:v>1078</c:v>
                </c:pt>
                <c:pt idx="39">
                  <c:v>401</c:v>
                </c:pt>
                <c:pt idx="40">
                  <c:v>334</c:v>
                </c:pt>
                <c:pt idx="41">
                  <c:v>301</c:v>
                </c:pt>
                <c:pt idx="42">
                  <c:v>1158</c:v>
                </c:pt>
                <c:pt idx="43">
                  <c:v>965</c:v>
                </c:pt>
                <c:pt idx="44">
                  <c:v>350</c:v>
                </c:pt>
                <c:pt idx="45">
                  <c:v>378</c:v>
                </c:pt>
                <c:pt idx="46">
                  <c:v>279</c:v>
                </c:pt>
                <c:pt idx="47">
                  <c:v>498</c:v>
                </c:pt>
                <c:pt idx="48">
                  <c:v>991</c:v>
                </c:pt>
                <c:pt idx="49">
                  <c:v>90</c:v>
                </c:pt>
                <c:pt idx="50">
                  <c:v>1135</c:v>
                </c:pt>
                <c:pt idx="51">
                  <c:v>916</c:v>
                </c:pt>
                <c:pt idx="52">
                  <c:v>1749</c:v>
                </c:pt>
                <c:pt idx="53">
                  <c:v>343</c:v>
                </c:pt>
                <c:pt idx="54">
                  <c:v>100</c:v>
                </c:pt>
                <c:pt idx="55">
                  <c:v>699</c:v>
                </c:pt>
                <c:pt idx="56">
                  <c:v>901</c:v>
                </c:pt>
                <c:pt idx="57">
                  <c:v>1685</c:v>
                </c:pt>
                <c:pt idx="58">
                  <c:v>1335</c:v>
                </c:pt>
                <c:pt idx="59">
                  <c:v>347</c:v>
                </c:pt>
                <c:pt idx="60">
                  <c:v>196</c:v>
                </c:pt>
                <c:pt idx="61">
                  <c:v>1054</c:v>
                </c:pt>
                <c:pt idx="62">
                  <c:v>1027</c:v>
                </c:pt>
                <c:pt idx="63">
                  <c:v>1199</c:v>
                </c:pt>
                <c:pt idx="64">
                  <c:v>230</c:v>
                </c:pt>
                <c:pt idx="65">
                  <c:v>1100</c:v>
                </c:pt>
                <c:pt idx="66">
                  <c:v>361</c:v>
                </c:pt>
                <c:pt idx="67">
                  <c:v>330</c:v>
                </c:pt>
                <c:pt idx="68">
                  <c:v>414</c:v>
                </c:pt>
                <c:pt idx="69">
                  <c:v>856</c:v>
                </c:pt>
                <c:pt idx="70">
                  <c:v>3642</c:v>
                </c:pt>
                <c:pt idx="71">
                  <c:v>521</c:v>
                </c:pt>
                <c:pt idx="72">
                  <c:v>353</c:v>
                </c:pt>
                <c:pt idx="73">
                  <c:v>1661</c:v>
                </c:pt>
                <c:pt idx="74">
                  <c:v>369</c:v>
                </c:pt>
                <c:pt idx="75">
                  <c:v>890</c:v>
                </c:pt>
                <c:pt idx="76">
                  <c:v>1000</c:v>
                </c:pt>
                <c:pt idx="77">
                  <c:v>79</c:v>
                </c:pt>
                <c:pt idx="78">
                  <c:v>913</c:v>
                </c:pt>
                <c:pt idx="79">
                  <c:v>387</c:v>
                </c:pt>
                <c:pt idx="80">
                  <c:v>130</c:v>
                </c:pt>
                <c:pt idx="81">
                  <c:v>500</c:v>
                </c:pt>
                <c:pt idx="82">
                  <c:v>1973</c:v>
                </c:pt>
                <c:pt idx="83">
                  <c:v>900</c:v>
                </c:pt>
                <c:pt idx="84">
                  <c:v>393</c:v>
                </c:pt>
                <c:pt idx="85">
                  <c:v>100</c:v>
                </c:pt>
                <c:pt idx="86">
                  <c:v>540</c:v>
                </c:pt>
                <c:pt idx="87">
                  <c:v>1446</c:v>
                </c:pt>
                <c:pt idx="88">
                  <c:v>382</c:v>
                </c:pt>
                <c:pt idx="89">
                  <c:v>1238</c:v>
                </c:pt>
                <c:pt idx="90">
                  <c:v>1061</c:v>
                </c:pt>
                <c:pt idx="91">
                  <c:v>340</c:v>
                </c:pt>
                <c:pt idx="92">
                  <c:v>671</c:v>
                </c:pt>
                <c:pt idx="93">
                  <c:v>336</c:v>
                </c:pt>
                <c:pt idx="94">
                  <c:v>938</c:v>
                </c:pt>
                <c:pt idx="95">
                  <c:v>3961</c:v>
                </c:pt>
                <c:pt idx="96">
                  <c:v>2337</c:v>
                </c:pt>
                <c:pt idx="97">
                  <c:v>589</c:v>
                </c:pt>
                <c:pt idx="98">
                  <c:v>1053</c:v>
                </c:pt>
                <c:pt idx="99">
                  <c:v>1019</c:v>
                </c:pt>
                <c:pt idx="100">
                  <c:v>548</c:v>
                </c:pt>
                <c:pt idx="101">
                  <c:v>150</c:v>
                </c:pt>
                <c:pt idx="102">
                  <c:v>335</c:v>
                </c:pt>
                <c:pt idx="103">
                  <c:v>326</c:v>
                </c:pt>
                <c:pt idx="104">
                  <c:v>835</c:v>
                </c:pt>
                <c:pt idx="105">
                  <c:v>1356</c:v>
                </c:pt>
                <c:pt idx="106">
                  <c:v>698</c:v>
                </c:pt>
                <c:pt idx="108">
                  <c:v>870</c:v>
                </c:pt>
                <c:pt idx="109">
                  <c:v>162</c:v>
                </c:pt>
                <c:pt idx="110">
                  <c:v>303</c:v>
                </c:pt>
                <c:pt idx="111">
                  <c:v>278</c:v>
                </c:pt>
                <c:pt idx="112">
                  <c:v>424</c:v>
                </c:pt>
                <c:pt idx="113">
                  <c:v>354</c:v>
                </c:pt>
                <c:pt idx="114">
                  <c:v>160</c:v>
                </c:pt>
                <c:pt idx="115">
                  <c:v>152</c:v>
                </c:pt>
                <c:pt idx="116">
                  <c:v>1889</c:v>
                </c:pt>
                <c:pt idx="117">
                  <c:v>400</c:v>
                </c:pt>
                <c:pt idx="118">
                  <c:v>819</c:v>
                </c:pt>
                <c:pt idx="119">
                  <c:v>1164</c:v>
                </c:pt>
                <c:pt idx="120">
                  <c:v>716</c:v>
                </c:pt>
                <c:pt idx="121">
                  <c:v>2302</c:v>
                </c:pt>
                <c:pt idx="122">
                  <c:v>1166</c:v>
                </c:pt>
                <c:pt idx="123">
                  <c:v>2059</c:v>
                </c:pt>
                <c:pt idx="124">
                  <c:v>514</c:v>
                </c:pt>
                <c:pt idx="125">
                  <c:v>1106</c:v>
                </c:pt>
                <c:pt idx="126">
                  <c:v>404</c:v>
                </c:pt>
                <c:pt idx="127">
                  <c:v>349</c:v>
                </c:pt>
                <c:pt idx="128">
                  <c:v>704</c:v>
                </c:pt>
                <c:pt idx="129">
                  <c:v>1015</c:v>
                </c:pt>
                <c:pt idx="130">
                  <c:v>715</c:v>
                </c:pt>
                <c:pt idx="131">
                  <c:v>300</c:v>
                </c:pt>
                <c:pt idx="132">
                  <c:v>370</c:v>
                </c:pt>
                <c:pt idx="133">
                  <c:v>250</c:v>
                </c:pt>
                <c:pt idx="134">
                  <c:v>600</c:v>
                </c:pt>
                <c:pt idx="135">
                  <c:v>560</c:v>
                </c:pt>
                <c:pt idx="136">
                  <c:v>665</c:v>
                </c:pt>
                <c:pt idx="137">
                  <c:v>585</c:v>
                </c:pt>
                <c:pt idx="138">
                  <c:v>1655</c:v>
                </c:pt>
                <c:pt idx="139">
                  <c:v>501</c:v>
                </c:pt>
                <c:pt idx="140">
                  <c:v>266</c:v>
                </c:pt>
                <c:pt idx="141">
                  <c:v>350</c:v>
                </c:pt>
                <c:pt idx="142">
                  <c:v>125</c:v>
                </c:pt>
                <c:pt idx="143">
                  <c:v>485</c:v>
                </c:pt>
                <c:pt idx="144">
                  <c:v>0</c:v>
                </c:pt>
                <c:pt idx="145">
                  <c:v>206</c:v>
                </c:pt>
                <c:pt idx="146">
                  <c:v>790</c:v>
                </c:pt>
                <c:pt idx="147">
                  <c:v>513</c:v>
                </c:pt>
                <c:pt idx="148">
                  <c:v>973</c:v>
                </c:pt>
                <c:pt idx="149">
                  <c:v>1320</c:v>
                </c:pt>
                <c:pt idx="150">
                  <c:v>275</c:v>
                </c:pt>
                <c:pt idx="151">
                  <c:v>2025</c:v>
                </c:pt>
                <c:pt idx="152">
                  <c:v>915</c:v>
                </c:pt>
                <c:pt idx="153">
                  <c:v>0</c:v>
                </c:pt>
                <c:pt idx="154">
                  <c:v>357</c:v>
                </c:pt>
                <c:pt idx="155">
                  <c:v>250</c:v>
                </c:pt>
                <c:pt idx="156">
                  <c:v>1205</c:v>
                </c:pt>
                <c:pt idx="157">
                  <c:v>60</c:v>
                </c:pt>
                <c:pt idx="158">
                  <c:v>1825</c:v>
                </c:pt>
                <c:pt idx="159">
                  <c:v>480</c:v>
                </c:pt>
                <c:pt idx="160">
                  <c:v>506</c:v>
                </c:pt>
                <c:pt idx="161">
                  <c:v>1875</c:v>
                </c:pt>
                <c:pt idx="162">
                  <c:v>515</c:v>
                </c:pt>
                <c:pt idx="163">
                  <c:v>355</c:v>
                </c:pt>
                <c:pt idx="164">
                  <c:v>2466</c:v>
                </c:pt>
                <c:pt idx="165">
                  <c:v>105</c:v>
                </c:pt>
                <c:pt idx="166">
                  <c:v>365</c:v>
                </c:pt>
                <c:pt idx="167">
                  <c:v>425</c:v>
                </c:pt>
                <c:pt idx="168">
                  <c:v>145</c:v>
                </c:pt>
                <c:pt idx="169">
                  <c:v>635</c:v>
                </c:pt>
                <c:pt idx="170">
                  <c:v>850</c:v>
                </c:pt>
                <c:pt idx="171">
                  <c:v>1140</c:v>
                </c:pt>
                <c:pt idx="172">
                  <c:v>125</c:v>
                </c:pt>
                <c:pt idx="173">
                  <c:v>370</c:v>
                </c:pt>
                <c:pt idx="174">
                  <c:v>400</c:v>
                </c:pt>
                <c:pt idx="175">
                  <c:v>313</c:v>
                </c:pt>
                <c:pt idx="176">
                  <c:v>130</c:v>
                </c:pt>
                <c:pt idx="177">
                  <c:v>250</c:v>
                </c:pt>
                <c:pt idx="178">
                  <c:v>780</c:v>
                </c:pt>
                <c:pt idx="179">
                  <c:v>631</c:v>
                </c:pt>
                <c:pt idx="180">
                  <c:v>757</c:v>
                </c:pt>
                <c:pt idx="181">
                  <c:v>355</c:v>
                </c:pt>
                <c:pt idx="182">
                  <c:v>3293</c:v>
                </c:pt>
                <c:pt idx="183">
                  <c:v>321</c:v>
                </c:pt>
                <c:pt idx="184">
                  <c:v>175</c:v>
                </c:pt>
                <c:pt idx="185">
                  <c:v>2628</c:v>
                </c:pt>
                <c:pt idx="186">
                  <c:v>770</c:v>
                </c:pt>
                <c:pt idx="187">
                  <c:v>985</c:v>
                </c:pt>
                <c:pt idx="188">
                  <c:v>205</c:v>
                </c:pt>
                <c:pt idx="189">
                  <c:v>300</c:v>
                </c:pt>
                <c:pt idx="190">
                  <c:v>231</c:v>
                </c:pt>
                <c:pt idx="191">
                  <c:v>3070</c:v>
                </c:pt>
                <c:pt idx="192">
                  <c:v>1260</c:v>
                </c:pt>
                <c:pt idx="193">
                  <c:v>480</c:v>
                </c:pt>
                <c:pt idx="194">
                  <c:v>1913</c:v>
                </c:pt>
                <c:pt idx="195">
                  <c:v>1035</c:v>
                </c:pt>
                <c:pt idx="196">
                  <c:v>2379</c:v>
                </c:pt>
                <c:pt idx="198">
                  <c:v>354</c:v>
                </c:pt>
                <c:pt idx="199">
                  <c:v>1337</c:v>
                </c:pt>
                <c:pt idx="200">
                  <c:v>785</c:v>
                </c:pt>
                <c:pt idx="201">
                  <c:v>2135</c:v>
                </c:pt>
                <c:pt idx="202">
                  <c:v>335</c:v>
                </c:pt>
                <c:pt idx="203">
                  <c:v>2840</c:v>
                </c:pt>
                <c:pt idx="204">
                  <c:v>872</c:v>
                </c:pt>
                <c:pt idx="205">
                  <c:v>185</c:v>
                </c:pt>
                <c:pt idx="207">
                  <c:v>4565</c:v>
                </c:pt>
                <c:pt idx="208">
                  <c:v>100</c:v>
                </c:pt>
                <c:pt idx="209">
                  <c:v>80</c:v>
                </c:pt>
                <c:pt idx="210">
                  <c:v>370</c:v>
                </c:pt>
                <c:pt idx="212">
                  <c:v>648</c:v>
                </c:pt>
                <c:pt idx="213">
                  <c:v>285</c:v>
                </c:pt>
                <c:pt idx="214">
                  <c:v>3885</c:v>
                </c:pt>
                <c:pt idx="215">
                  <c:v>1675</c:v>
                </c:pt>
                <c:pt idx="217">
                  <c:v>550</c:v>
                </c:pt>
                <c:pt idx="218">
                  <c:v>511</c:v>
                </c:pt>
                <c:pt idx="219">
                  <c:v>350</c:v>
                </c:pt>
                <c:pt idx="220">
                  <c:v>6165</c:v>
                </c:pt>
                <c:pt idx="222">
                  <c:v>680</c:v>
                </c:pt>
                <c:pt idx="223">
                  <c:v>235</c:v>
                </c:pt>
                <c:pt idx="224">
                  <c:v>630</c:v>
                </c:pt>
                <c:pt idx="225">
                  <c:v>1040</c:v>
                </c:pt>
                <c:pt idx="226">
                  <c:v>600</c:v>
                </c:pt>
                <c:pt idx="227">
                  <c:v>1975</c:v>
                </c:pt>
                <c:pt idx="228">
                  <c:v>211</c:v>
                </c:pt>
                <c:pt idx="229">
                  <c:v>160</c:v>
                </c:pt>
                <c:pt idx="230">
                  <c:v>435</c:v>
                </c:pt>
                <c:pt idx="231">
                  <c:v>355</c:v>
                </c:pt>
                <c:pt idx="232">
                  <c:v>495</c:v>
                </c:pt>
                <c:pt idx="234">
                  <c:v>355</c:v>
                </c:pt>
                <c:pt idx="235">
                  <c:v>855</c:v>
                </c:pt>
                <c:pt idx="236">
                  <c:v>331</c:v>
                </c:pt>
                <c:pt idx="237">
                  <c:v>350</c:v>
                </c:pt>
                <c:pt idx="238">
                  <c:v>1400</c:v>
                </c:pt>
                <c:pt idx="239">
                  <c:v>1160</c:v>
                </c:pt>
                <c:pt idx="240">
                  <c:v>250</c:v>
                </c:pt>
                <c:pt idx="241">
                  <c:v>650</c:v>
                </c:pt>
                <c:pt idx="242">
                  <c:v>315</c:v>
                </c:pt>
                <c:pt idx="243">
                  <c:v>2550</c:v>
                </c:pt>
                <c:pt idx="244">
                  <c:v>1925</c:v>
                </c:pt>
                <c:pt idx="245">
                  <c:v>670</c:v>
                </c:pt>
                <c:pt idx="246">
                  <c:v>4053</c:v>
                </c:pt>
                <c:pt idx="247">
                  <c:v>400</c:v>
                </c:pt>
                <c:pt idx="248">
                  <c:v>940</c:v>
                </c:pt>
                <c:pt idx="249">
                  <c:v>990</c:v>
                </c:pt>
                <c:pt idx="250">
                  <c:v>2370</c:v>
                </c:pt>
                <c:pt idx="251">
                  <c:v>350</c:v>
                </c:pt>
                <c:pt idx="253">
                  <c:v>300</c:v>
                </c:pt>
                <c:pt idx="254">
                  <c:v>575</c:v>
                </c:pt>
                <c:pt idx="255">
                  <c:v>1150</c:v>
                </c:pt>
                <c:pt idx="256">
                  <c:v>825</c:v>
                </c:pt>
                <c:pt idx="257">
                  <c:v>180</c:v>
                </c:pt>
                <c:pt idx="258">
                  <c:v>1011</c:v>
                </c:pt>
                <c:pt idx="259">
                  <c:v>250</c:v>
                </c:pt>
                <c:pt idx="260">
                  <c:v>340</c:v>
                </c:pt>
                <c:pt idx="261">
                  <c:v>680</c:v>
                </c:pt>
                <c:pt idx="262">
                  <c:v>665</c:v>
                </c:pt>
                <c:pt idx="263">
                  <c:v>890</c:v>
                </c:pt>
                <c:pt idx="265">
                  <c:v>440</c:v>
                </c:pt>
                <c:pt idx="266">
                  <c:v>582</c:v>
                </c:pt>
                <c:pt idx="267">
                  <c:v>640</c:v>
                </c:pt>
                <c:pt idx="268">
                  <c:v>420</c:v>
                </c:pt>
                <c:pt idx="269">
                  <c:v>1000</c:v>
                </c:pt>
                <c:pt idx="271">
                  <c:v>675</c:v>
                </c:pt>
                <c:pt idx="272">
                  <c:v>240</c:v>
                </c:pt>
                <c:pt idx="273">
                  <c:v>1630</c:v>
                </c:pt>
                <c:pt idx="274">
                  <c:v>285</c:v>
                </c:pt>
                <c:pt idx="275">
                  <c:v>320</c:v>
                </c:pt>
                <c:pt idx="276">
                  <c:v>270</c:v>
                </c:pt>
                <c:pt idx="277">
                  <c:v>2725</c:v>
                </c:pt>
                <c:pt idx="278">
                  <c:v>400</c:v>
                </c:pt>
                <c:pt idx="279">
                  <c:v>255</c:v>
                </c:pt>
                <c:pt idx="280">
                  <c:v>4000</c:v>
                </c:pt>
                <c:pt idx="281">
                  <c:v>920</c:v>
                </c:pt>
                <c:pt idx="282">
                  <c:v>410</c:v>
                </c:pt>
                <c:pt idx="283">
                  <c:v>350</c:v>
                </c:pt>
                <c:pt idx="284">
                  <c:v>630</c:v>
                </c:pt>
                <c:pt idx="285">
                  <c:v>346</c:v>
                </c:pt>
                <c:pt idx="286">
                  <c:v>457</c:v>
                </c:pt>
                <c:pt idx="287">
                  <c:v>1807</c:v>
                </c:pt>
                <c:pt idx="288">
                  <c:v>597</c:v>
                </c:pt>
                <c:pt idx="289">
                  <c:v>200</c:v>
                </c:pt>
                <c:pt idx="290">
                  <c:v>150</c:v>
                </c:pt>
                <c:pt idx="291">
                  <c:v>490</c:v>
                </c:pt>
                <c:pt idx="292">
                  <c:v>325</c:v>
                </c:pt>
                <c:pt idx="293">
                  <c:v>3795</c:v>
                </c:pt>
                <c:pt idx="294">
                  <c:v>1280</c:v>
                </c:pt>
                <c:pt idx="295">
                  <c:v>57</c:v>
                </c:pt>
                <c:pt idx="296">
                  <c:v>206</c:v>
                </c:pt>
                <c:pt idx="297">
                  <c:v>410</c:v>
                </c:pt>
                <c:pt idx="298">
                  <c:v>100</c:v>
                </c:pt>
                <c:pt idx="299">
                  <c:v>830</c:v>
                </c:pt>
                <c:pt idx="300">
                  <c:v>597</c:v>
                </c:pt>
                <c:pt idx="301">
                  <c:v>710</c:v>
                </c:pt>
                <c:pt idx="302">
                  <c:v>330</c:v>
                </c:pt>
                <c:pt idx="303">
                  <c:v>1815</c:v>
                </c:pt>
                <c:pt idx="304">
                  <c:v>520</c:v>
                </c:pt>
                <c:pt idx="305">
                  <c:v>530</c:v>
                </c:pt>
                <c:pt idx="306">
                  <c:v>3486</c:v>
                </c:pt>
                <c:pt idx="307">
                  <c:v>1815</c:v>
                </c:pt>
                <c:pt idx="308">
                  <c:v>2950</c:v>
                </c:pt>
                <c:pt idx="309">
                  <c:v>1600</c:v>
                </c:pt>
                <c:pt idx="310">
                  <c:v>1060</c:v>
                </c:pt>
                <c:pt idx="311">
                  <c:v>1270</c:v>
                </c:pt>
                <c:pt idx="313">
                  <c:v>850</c:v>
                </c:pt>
                <c:pt idx="314">
                  <c:v>1831</c:v>
                </c:pt>
                <c:pt idx="315">
                  <c:v>1460</c:v>
                </c:pt>
                <c:pt idx="316">
                  <c:v>600</c:v>
                </c:pt>
                <c:pt idx="317">
                  <c:v>795</c:v>
                </c:pt>
                <c:pt idx="318">
                  <c:v>1883</c:v>
                </c:pt>
                <c:pt idx="319">
                  <c:v>1212</c:v>
                </c:pt>
                <c:pt idx="320">
                  <c:v>565</c:v>
                </c:pt>
                <c:pt idx="321">
                  <c:v>618</c:v>
                </c:pt>
                <c:pt idx="322">
                  <c:v>634</c:v>
                </c:pt>
                <c:pt idx="323">
                  <c:v>690</c:v>
                </c:pt>
                <c:pt idx="324">
                  <c:v>1249</c:v>
                </c:pt>
                <c:pt idx="325">
                  <c:v>1554</c:v>
                </c:pt>
                <c:pt idx="326">
                  <c:v>804</c:v>
                </c:pt>
                <c:pt idx="327">
                  <c:v>420</c:v>
                </c:pt>
                <c:pt idx="328">
                  <c:v>762</c:v>
                </c:pt>
                <c:pt idx="329">
                  <c:v>662</c:v>
                </c:pt>
                <c:pt idx="330">
                  <c:v>3540</c:v>
                </c:pt>
                <c:pt idx="331">
                  <c:v>1122</c:v>
                </c:pt>
                <c:pt idx="332">
                  <c:v>718</c:v>
                </c:pt>
                <c:pt idx="333">
                  <c:v>277</c:v>
                </c:pt>
                <c:pt idx="334">
                  <c:v>1552</c:v>
                </c:pt>
                <c:pt idx="335">
                  <c:v>746</c:v>
                </c:pt>
                <c:pt idx="336">
                  <c:v>456</c:v>
                </c:pt>
                <c:pt idx="337">
                  <c:v>2654</c:v>
                </c:pt>
                <c:pt idx="338">
                  <c:v>100</c:v>
                </c:pt>
                <c:pt idx="339">
                  <c:v>100</c:v>
                </c:pt>
                <c:pt idx="340">
                  <c:v>2962</c:v>
                </c:pt>
                <c:pt idx="341">
                  <c:v>3137</c:v>
                </c:pt>
                <c:pt idx="342">
                  <c:v>770</c:v>
                </c:pt>
                <c:pt idx="343">
                  <c:v>1493</c:v>
                </c:pt>
                <c:pt idx="344">
                  <c:v>2452</c:v>
                </c:pt>
                <c:pt idx="345">
                  <c:v>758</c:v>
                </c:pt>
                <c:pt idx="346">
                  <c:v>346</c:v>
                </c:pt>
                <c:pt idx="347">
                  <c:v>420</c:v>
                </c:pt>
                <c:pt idx="348">
                  <c:v>762</c:v>
                </c:pt>
                <c:pt idx="349">
                  <c:v>1875</c:v>
                </c:pt>
                <c:pt idx="350">
                  <c:v>7070</c:v>
                </c:pt>
                <c:pt idx="351">
                  <c:v>740</c:v>
                </c:pt>
                <c:pt idx="352">
                  <c:v>2590</c:v>
                </c:pt>
                <c:pt idx="353">
                  <c:v>550</c:v>
                </c:pt>
                <c:pt idx="354">
                  <c:v>2295</c:v>
                </c:pt>
                <c:pt idx="355">
                  <c:v>341</c:v>
                </c:pt>
                <c:pt idx="356">
                  <c:v>375</c:v>
                </c:pt>
                <c:pt idx="357">
                  <c:v>415</c:v>
                </c:pt>
                <c:pt idx="358">
                  <c:v>2179</c:v>
                </c:pt>
                <c:pt idx="359">
                  <c:v>3576</c:v>
                </c:pt>
                <c:pt idx="360">
                  <c:v>328</c:v>
                </c:pt>
                <c:pt idx="361">
                  <c:v>2887</c:v>
                </c:pt>
                <c:pt idx="362">
                  <c:v>323</c:v>
                </c:pt>
                <c:pt idx="363">
                  <c:v>3512</c:v>
                </c:pt>
                <c:pt idx="364">
                  <c:v>269</c:v>
                </c:pt>
                <c:pt idx="365">
                  <c:v>2766</c:v>
                </c:pt>
                <c:pt idx="366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3-7C49-83FF-B01D043E2E02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Finished_Jobs!$H$1:$H$367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8">
                  <c:v>1</c:v>
                </c:pt>
                <c:pt idx="92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1</c:v>
                </c:pt>
                <c:pt idx="113">
                  <c:v>1</c:v>
                </c:pt>
                <c:pt idx="117">
                  <c:v>1</c:v>
                </c:pt>
                <c:pt idx="123">
                  <c:v>1</c:v>
                </c:pt>
                <c:pt idx="126">
                  <c:v>1</c:v>
                </c:pt>
                <c:pt idx="127">
                  <c:v>1</c:v>
                </c:pt>
                <c:pt idx="129">
                  <c:v>1</c:v>
                </c:pt>
                <c:pt idx="133">
                  <c:v>1</c:v>
                </c:pt>
                <c:pt idx="13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8">
                  <c:v>1</c:v>
                </c:pt>
                <c:pt idx="165">
                  <c:v>1</c:v>
                </c:pt>
                <c:pt idx="166">
                  <c:v>1</c:v>
                </c:pt>
                <c:pt idx="171">
                  <c:v>1</c:v>
                </c:pt>
                <c:pt idx="174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1">
                  <c:v>1</c:v>
                </c:pt>
                <c:pt idx="196">
                  <c:v>1</c:v>
                </c:pt>
                <c:pt idx="197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1</c:v>
                </c:pt>
                <c:pt idx="230">
                  <c:v>1</c:v>
                </c:pt>
                <c:pt idx="232">
                  <c:v>1</c:v>
                </c:pt>
                <c:pt idx="236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6">
                  <c:v>1</c:v>
                </c:pt>
                <c:pt idx="255">
                  <c:v>1</c:v>
                </c:pt>
                <c:pt idx="256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1">
                  <c:v>1</c:v>
                </c:pt>
                <c:pt idx="273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6">
                  <c:v>1</c:v>
                </c:pt>
                <c:pt idx="28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3-7C49-83FF-B01D043E2E02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Finished_Jobs!$I$1:$I$367</c:f>
              <c:numCache>
                <c:formatCode>General</c:formatCode>
                <c:ptCount val="367"/>
                <c:pt idx="0">
                  <c:v>0</c:v>
                </c:pt>
                <c:pt idx="86">
                  <c:v>1</c:v>
                </c:pt>
                <c:pt idx="105">
                  <c:v>1</c:v>
                </c:pt>
                <c:pt idx="109">
                  <c:v>1</c:v>
                </c:pt>
                <c:pt idx="119">
                  <c:v>1</c:v>
                </c:pt>
                <c:pt idx="121">
                  <c:v>1</c:v>
                </c:pt>
                <c:pt idx="128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8">
                  <c:v>1</c:v>
                </c:pt>
                <c:pt idx="156">
                  <c:v>1</c:v>
                </c:pt>
                <c:pt idx="157">
                  <c:v>1</c:v>
                </c:pt>
                <c:pt idx="161">
                  <c:v>1</c:v>
                </c:pt>
                <c:pt idx="179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01">
                  <c:v>1</c:v>
                </c:pt>
                <c:pt idx="206">
                  <c:v>1</c:v>
                </c:pt>
                <c:pt idx="225">
                  <c:v>1</c:v>
                </c:pt>
                <c:pt idx="231">
                  <c:v>1</c:v>
                </c:pt>
                <c:pt idx="244">
                  <c:v>1</c:v>
                </c:pt>
                <c:pt idx="250">
                  <c:v>1</c:v>
                </c:pt>
                <c:pt idx="254">
                  <c:v>1</c:v>
                </c:pt>
                <c:pt idx="272">
                  <c:v>1</c:v>
                </c:pt>
                <c:pt idx="2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3-7C49-83FF-B01D043E2E02}"/>
            </c:ext>
          </c:extLst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Finished_Jobs!$J$1:$J$367</c:f>
              <c:numCache>
                <c:formatCode>General</c:formatCode>
                <c:ptCount val="367"/>
                <c:pt idx="0">
                  <c:v>0</c:v>
                </c:pt>
                <c:pt idx="119">
                  <c:v>1</c:v>
                </c:pt>
                <c:pt idx="167">
                  <c:v>1</c:v>
                </c:pt>
                <c:pt idx="192">
                  <c:v>1</c:v>
                </c:pt>
                <c:pt idx="193">
                  <c:v>1</c:v>
                </c:pt>
                <c:pt idx="201">
                  <c:v>1</c:v>
                </c:pt>
                <c:pt idx="206">
                  <c:v>1</c:v>
                </c:pt>
                <c:pt idx="2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3-7C49-83FF-B01D043E2E02}"/>
            </c:ext>
          </c:extLst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Finished_Jobs!$K$1:$K$367</c:f>
              <c:numCache>
                <c:formatCode>General</c:formatCode>
                <c:ptCount val="367"/>
                <c:pt idx="0">
                  <c:v>0</c:v>
                </c:pt>
                <c:pt idx="89">
                  <c:v>1</c:v>
                </c:pt>
                <c:pt idx="90">
                  <c:v>1</c:v>
                </c:pt>
                <c:pt idx="106">
                  <c:v>1</c:v>
                </c:pt>
                <c:pt idx="116">
                  <c:v>1</c:v>
                </c:pt>
                <c:pt idx="122">
                  <c:v>1</c:v>
                </c:pt>
                <c:pt idx="145">
                  <c:v>1</c:v>
                </c:pt>
                <c:pt idx="149">
                  <c:v>1</c:v>
                </c:pt>
                <c:pt idx="156">
                  <c:v>1</c:v>
                </c:pt>
                <c:pt idx="170">
                  <c:v>1</c:v>
                </c:pt>
                <c:pt idx="176">
                  <c:v>1</c:v>
                </c:pt>
                <c:pt idx="217">
                  <c:v>1</c:v>
                </c:pt>
                <c:pt idx="220">
                  <c:v>1</c:v>
                </c:pt>
                <c:pt idx="227">
                  <c:v>1</c:v>
                </c:pt>
                <c:pt idx="234">
                  <c:v>1</c:v>
                </c:pt>
                <c:pt idx="239">
                  <c:v>1</c:v>
                </c:pt>
                <c:pt idx="2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3-7C49-83FF-B01D043E2E02}"/>
            </c:ext>
          </c:extLst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Finished_Jobs!$L$1:$L$367</c:f>
              <c:numCache>
                <c:formatCode>General</c:formatCode>
                <c:ptCount val="367"/>
                <c:pt idx="0">
                  <c:v>0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103">
                  <c:v>1</c:v>
                </c:pt>
                <c:pt idx="114">
                  <c:v>1</c:v>
                </c:pt>
                <c:pt idx="115">
                  <c:v>1</c:v>
                </c:pt>
                <c:pt idx="119">
                  <c:v>1</c:v>
                </c:pt>
                <c:pt idx="122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5">
                  <c:v>1</c:v>
                </c:pt>
                <c:pt idx="137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53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1</c:v>
                </c:pt>
                <c:pt idx="187">
                  <c:v>1</c:v>
                </c:pt>
                <c:pt idx="189">
                  <c:v>1</c:v>
                </c:pt>
                <c:pt idx="193">
                  <c:v>1</c:v>
                </c:pt>
                <c:pt idx="195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7">
                  <c:v>1</c:v>
                </c:pt>
                <c:pt idx="216">
                  <c:v>1</c:v>
                </c:pt>
                <c:pt idx="225">
                  <c:v>1</c:v>
                </c:pt>
                <c:pt idx="227">
                  <c:v>1</c:v>
                </c:pt>
                <c:pt idx="238">
                  <c:v>1</c:v>
                </c:pt>
                <c:pt idx="244">
                  <c:v>1</c:v>
                </c:pt>
                <c:pt idx="247">
                  <c:v>1</c:v>
                </c:pt>
                <c:pt idx="250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2">
                  <c:v>1</c:v>
                </c:pt>
                <c:pt idx="277">
                  <c:v>1</c:v>
                </c:pt>
                <c:pt idx="285">
                  <c:v>1</c:v>
                </c:pt>
                <c:pt idx="287">
                  <c:v>1</c:v>
                </c:pt>
                <c:pt idx="302">
                  <c:v>1</c:v>
                </c:pt>
                <c:pt idx="303">
                  <c:v>1</c:v>
                </c:pt>
                <c:pt idx="30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3-7C49-83FF-B01D043E2E02}"/>
            </c:ext>
          </c:extLst>
        </c:ser>
        <c:ser>
          <c:idx val="8"/>
          <c:order val="8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Finished_Jobs!$M$1:$M$367</c:f>
              <c:numCache>
                <c:formatCode>General</c:formatCode>
                <c:ptCount val="367"/>
                <c:pt idx="0">
                  <c:v>0</c:v>
                </c:pt>
                <c:pt idx="15">
                  <c:v>1</c:v>
                </c:pt>
                <c:pt idx="113">
                  <c:v>1</c:v>
                </c:pt>
                <c:pt idx="119">
                  <c:v>1</c:v>
                </c:pt>
                <c:pt idx="121">
                  <c:v>1</c:v>
                </c:pt>
                <c:pt idx="124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2">
                  <c:v>1</c:v>
                </c:pt>
                <c:pt idx="135">
                  <c:v>1</c:v>
                </c:pt>
                <c:pt idx="137">
                  <c:v>1</c:v>
                </c:pt>
                <c:pt idx="148">
                  <c:v>1</c:v>
                </c:pt>
                <c:pt idx="153">
                  <c:v>1</c:v>
                </c:pt>
                <c:pt idx="160">
                  <c:v>1</c:v>
                </c:pt>
                <c:pt idx="161">
                  <c:v>1</c:v>
                </c:pt>
                <c:pt idx="167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9">
                  <c:v>1</c:v>
                </c:pt>
                <c:pt idx="180">
                  <c:v>1</c:v>
                </c:pt>
                <c:pt idx="194">
                  <c:v>1</c:v>
                </c:pt>
                <c:pt idx="195">
                  <c:v>1</c:v>
                </c:pt>
                <c:pt idx="206">
                  <c:v>1</c:v>
                </c:pt>
                <c:pt idx="207">
                  <c:v>1</c:v>
                </c:pt>
                <c:pt idx="211">
                  <c:v>1</c:v>
                </c:pt>
                <c:pt idx="227">
                  <c:v>1</c:v>
                </c:pt>
                <c:pt idx="234">
                  <c:v>1</c:v>
                </c:pt>
                <c:pt idx="244">
                  <c:v>1</c:v>
                </c:pt>
                <c:pt idx="252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61">
                  <c:v>1</c:v>
                </c:pt>
                <c:pt idx="266">
                  <c:v>1</c:v>
                </c:pt>
                <c:pt idx="272">
                  <c:v>1</c:v>
                </c:pt>
                <c:pt idx="274">
                  <c:v>1</c:v>
                </c:pt>
                <c:pt idx="282">
                  <c:v>1</c:v>
                </c:pt>
                <c:pt idx="283">
                  <c:v>1</c:v>
                </c:pt>
                <c:pt idx="285">
                  <c:v>1</c:v>
                </c:pt>
                <c:pt idx="296">
                  <c:v>1</c:v>
                </c:pt>
                <c:pt idx="302">
                  <c:v>1</c:v>
                </c:pt>
                <c:pt idx="306">
                  <c:v>1</c:v>
                </c:pt>
                <c:pt idx="3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83-7C49-83FF-B01D043E2E02}"/>
            </c:ext>
          </c:extLst>
        </c:ser>
        <c:ser>
          <c:idx val="9"/>
          <c:order val="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Finished_Jobs!$N$1:$N$367</c:f>
              <c:numCache>
                <c:formatCode>General</c:formatCode>
                <c:ptCount val="367"/>
                <c:pt idx="0">
                  <c:v>0</c:v>
                </c:pt>
                <c:pt idx="130">
                  <c:v>1</c:v>
                </c:pt>
                <c:pt idx="148">
                  <c:v>1</c:v>
                </c:pt>
                <c:pt idx="175">
                  <c:v>1</c:v>
                </c:pt>
                <c:pt idx="243">
                  <c:v>1</c:v>
                </c:pt>
                <c:pt idx="248">
                  <c:v>1</c:v>
                </c:pt>
                <c:pt idx="261">
                  <c:v>1</c:v>
                </c:pt>
                <c:pt idx="2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83-7C49-83FF-B01D043E2E0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Finished_Jobs!$O$1:$O$367</c:f>
              <c:numCache>
                <c:formatCode>General</c:formatCode>
                <c:ptCount val="367"/>
                <c:pt idx="0">
                  <c:v>0</c:v>
                </c:pt>
                <c:pt idx="78">
                  <c:v>1</c:v>
                </c:pt>
                <c:pt idx="93">
                  <c:v>1</c:v>
                </c:pt>
                <c:pt idx="119">
                  <c:v>1</c:v>
                </c:pt>
                <c:pt idx="145">
                  <c:v>1</c:v>
                </c:pt>
                <c:pt idx="146">
                  <c:v>1</c:v>
                </c:pt>
                <c:pt idx="149">
                  <c:v>1</c:v>
                </c:pt>
                <c:pt idx="161">
                  <c:v>1</c:v>
                </c:pt>
                <c:pt idx="167">
                  <c:v>1</c:v>
                </c:pt>
                <c:pt idx="168">
                  <c:v>1</c:v>
                </c:pt>
                <c:pt idx="180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5">
                  <c:v>1</c:v>
                </c:pt>
                <c:pt idx="207">
                  <c:v>1</c:v>
                </c:pt>
                <c:pt idx="227">
                  <c:v>1</c:v>
                </c:pt>
                <c:pt idx="238">
                  <c:v>1</c:v>
                </c:pt>
                <c:pt idx="243">
                  <c:v>1</c:v>
                </c:pt>
                <c:pt idx="245">
                  <c:v>1</c:v>
                </c:pt>
                <c:pt idx="253">
                  <c:v>1</c:v>
                </c:pt>
                <c:pt idx="258">
                  <c:v>1</c:v>
                </c:pt>
                <c:pt idx="262">
                  <c:v>1</c:v>
                </c:pt>
                <c:pt idx="283">
                  <c:v>1</c:v>
                </c:pt>
                <c:pt idx="298">
                  <c:v>1</c:v>
                </c:pt>
                <c:pt idx="339">
                  <c:v>1</c:v>
                </c:pt>
                <c:pt idx="3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83-7C49-83FF-B01D043E2E02}"/>
            </c:ext>
          </c:extLst>
        </c:ser>
        <c:ser>
          <c:idx val="11"/>
          <c:order val="1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Finished_Jobs!$P$1:$P$367</c:f>
              <c:numCache>
                <c:formatCode>General</c:formatCode>
                <c:ptCount val="367"/>
                <c:pt idx="0">
                  <c:v>0</c:v>
                </c:pt>
                <c:pt idx="79">
                  <c:v>1</c:v>
                </c:pt>
                <c:pt idx="80">
                  <c:v>1</c:v>
                </c:pt>
                <c:pt idx="111">
                  <c:v>1</c:v>
                </c:pt>
                <c:pt idx="125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3">
                  <c:v>1</c:v>
                </c:pt>
                <c:pt idx="155">
                  <c:v>1</c:v>
                </c:pt>
                <c:pt idx="156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7">
                  <c:v>1</c:v>
                </c:pt>
                <c:pt idx="192">
                  <c:v>1</c:v>
                </c:pt>
                <c:pt idx="193">
                  <c:v>1</c:v>
                </c:pt>
                <c:pt idx="199">
                  <c:v>1</c:v>
                </c:pt>
                <c:pt idx="201">
                  <c:v>1</c:v>
                </c:pt>
                <c:pt idx="206">
                  <c:v>1</c:v>
                </c:pt>
                <c:pt idx="207">
                  <c:v>1</c:v>
                </c:pt>
                <c:pt idx="216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3">
                  <c:v>1</c:v>
                </c:pt>
                <c:pt idx="236">
                  <c:v>1</c:v>
                </c:pt>
                <c:pt idx="237">
                  <c:v>1</c:v>
                </c:pt>
                <c:pt idx="241">
                  <c:v>1</c:v>
                </c:pt>
                <c:pt idx="243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56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8">
                  <c:v>1</c:v>
                </c:pt>
                <c:pt idx="269">
                  <c:v>1</c:v>
                </c:pt>
                <c:pt idx="274">
                  <c:v>1</c:v>
                </c:pt>
                <c:pt idx="282">
                  <c:v>1</c:v>
                </c:pt>
                <c:pt idx="283">
                  <c:v>1</c:v>
                </c:pt>
                <c:pt idx="285">
                  <c:v>1</c:v>
                </c:pt>
                <c:pt idx="302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83-7C49-83FF-B01D043E2E02}"/>
            </c:ext>
          </c:extLst>
        </c:ser>
        <c:ser>
          <c:idx val="12"/>
          <c:order val="12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Finished_Jobs!$Q$1:$Q$367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2">
                  <c:v>1</c:v>
                </c:pt>
                <c:pt idx="87">
                  <c:v>1</c:v>
                </c:pt>
                <c:pt idx="88">
                  <c:v>1</c:v>
                </c:pt>
                <c:pt idx="92">
                  <c:v>1</c:v>
                </c:pt>
                <c:pt idx="95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7">
                  <c:v>1</c:v>
                </c:pt>
                <c:pt idx="108">
                  <c:v>1</c:v>
                </c:pt>
                <c:pt idx="117">
                  <c:v>1</c:v>
                </c:pt>
                <c:pt idx="123">
                  <c:v>1</c:v>
                </c:pt>
                <c:pt idx="127">
                  <c:v>1</c:v>
                </c:pt>
                <c:pt idx="129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8">
                  <c:v>1</c:v>
                </c:pt>
                <c:pt idx="160">
                  <c:v>1</c:v>
                </c:pt>
                <c:pt idx="166">
                  <c:v>1</c:v>
                </c:pt>
                <c:pt idx="171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5">
                  <c:v>1</c:v>
                </c:pt>
                <c:pt idx="186">
                  <c:v>1</c:v>
                </c:pt>
                <c:pt idx="191">
                  <c:v>1</c:v>
                </c:pt>
                <c:pt idx="196">
                  <c:v>1</c:v>
                </c:pt>
                <c:pt idx="199">
                  <c:v>1</c:v>
                </c:pt>
                <c:pt idx="200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3">
                  <c:v>1</c:v>
                </c:pt>
                <c:pt idx="226">
                  <c:v>1</c:v>
                </c:pt>
                <c:pt idx="228">
                  <c:v>1</c:v>
                </c:pt>
                <c:pt idx="232">
                  <c:v>1</c:v>
                </c:pt>
                <c:pt idx="236">
                  <c:v>1</c:v>
                </c:pt>
                <c:pt idx="239">
                  <c:v>1</c:v>
                </c:pt>
                <c:pt idx="240">
                  <c:v>1</c:v>
                </c:pt>
                <c:pt idx="243">
                  <c:v>1</c:v>
                </c:pt>
                <c:pt idx="246">
                  <c:v>1</c:v>
                </c:pt>
                <c:pt idx="251">
                  <c:v>1</c:v>
                </c:pt>
                <c:pt idx="252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5">
                  <c:v>1</c:v>
                </c:pt>
                <c:pt idx="266">
                  <c:v>1</c:v>
                </c:pt>
                <c:pt idx="271">
                  <c:v>1</c:v>
                </c:pt>
                <c:pt idx="273">
                  <c:v>1</c:v>
                </c:pt>
                <c:pt idx="276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1</c:v>
                </c:pt>
                <c:pt idx="316">
                  <c:v>1</c:v>
                </c:pt>
                <c:pt idx="317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8">
                  <c:v>1</c:v>
                </c:pt>
                <c:pt idx="330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83-7C49-83FF-B01D043E2E02}"/>
            </c:ext>
          </c:extLst>
        </c:ser>
        <c:ser>
          <c:idx val="13"/>
          <c:order val="13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Finished_Jobs!$R$1:$R$367</c:f>
              <c:numCache>
                <c:formatCode>General</c:formatCode>
                <c:ptCount val="367"/>
                <c:pt idx="0">
                  <c:v>0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9">
                  <c:v>1</c:v>
                </c:pt>
                <c:pt idx="31">
                  <c:v>1</c:v>
                </c:pt>
                <c:pt idx="35">
                  <c:v>1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5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2">
                  <c:v>1</c:v>
                </c:pt>
                <c:pt idx="87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2">
                  <c:v>1</c:v>
                </c:pt>
                <c:pt idx="104">
                  <c:v>1</c:v>
                </c:pt>
                <c:pt idx="108">
                  <c:v>1</c:v>
                </c:pt>
                <c:pt idx="117">
                  <c:v>1</c:v>
                </c:pt>
                <c:pt idx="12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1</c:v>
                </c:pt>
                <c:pt idx="148">
                  <c:v>1</c:v>
                </c:pt>
                <c:pt idx="151">
                  <c:v>1</c:v>
                </c:pt>
                <c:pt idx="152">
                  <c:v>1</c:v>
                </c:pt>
                <c:pt idx="158">
                  <c:v>1</c:v>
                </c:pt>
                <c:pt idx="160">
                  <c:v>1</c:v>
                </c:pt>
                <c:pt idx="169">
                  <c:v>1</c:v>
                </c:pt>
                <c:pt idx="171">
                  <c:v>1</c:v>
                </c:pt>
                <c:pt idx="181">
                  <c:v>1</c:v>
                </c:pt>
                <c:pt idx="183">
                  <c:v>1</c:v>
                </c:pt>
                <c:pt idx="185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203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23">
                  <c:v>1</c:v>
                </c:pt>
                <c:pt idx="226">
                  <c:v>1</c:v>
                </c:pt>
                <c:pt idx="230">
                  <c:v>1</c:v>
                </c:pt>
                <c:pt idx="246">
                  <c:v>1</c:v>
                </c:pt>
                <c:pt idx="251">
                  <c:v>1</c:v>
                </c:pt>
                <c:pt idx="252">
                  <c:v>1</c:v>
                </c:pt>
                <c:pt idx="255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3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8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7">
                  <c:v>1</c:v>
                </c:pt>
                <c:pt idx="300">
                  <c:v>1</c:v>
                </c:pt>
                <c:pt idx="307">
                  <c:v>1</c:v>
                </c:pt>
                <c:pt idx="309">
                  <c:v>1</c:v>
                </c:pt>
                <c:pt idx="311">
                  <c:v>1</c:v>
                </c:pt>
                <c:pt idx="313">
                  <c:v>1</c:v>
                </c:pt>
                <c:pt idx="315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4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  <c:pt idx="365">
                  <c:v>1</c:v>
                </c:pt>
                <c:pt idx="3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83-7C49-83FF-B01D043E2E02}"/>
            </c:ext>
          </c:extLst>
        </c:ser>
        <c:ser>
          <c:idx val="14"/>
          <c:order val="1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Finished_Jobs!$S$1:$S$367</c:f>
              <c:numCache>
                <c:formatCode>General</c:formatCode>
                <c:ptCount val="367"/>
                <c:pt idx="0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1</c:v>
                </c:pt>
                <c:pt idx="25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87">
                  <c:v>1</c:v>
                </c:pt>
                <c:pt idx="95">
                  <c:v>1</c:v>
                </c:pt>
                <c:pt idx="98">
                  <c:v>1</c:v>
                </c:pt>
                <c:pt idx="100">
                  <c:v>1</c:v>
                </c:pt>
                <c:pt idx="117">
                  <c:v>1</c:v>
                </c:pt>
                <c:pt idx="121">
                  <c:v>1</c:v>
                </c:pt>
                <c:pt idx="123">
                  <c:v>1</c:v>
                </c:pt>
                <c:pt idx="125">
                  <c:v>1</c:v>
                </c:pt>
                <c:pt idx="126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48">
                  <c:v>1</c:v>
                </c:pt>
                <c:pt idx="151">
                  <c:v>1</c:v>
                </c:pt>
                <c:pt idx="152">
                  <c:v>1</c:v>
                </c:pt>
                <c:pt idx="156">
                  <c:v>1</c:v>
                </c:pt>
                <c:pt idx="159">
                  <c:v>1</c:v>
                </c:pt>
                <c:pt idx="163">
                  <c:v>1</c:v>
                </c:pt>
                <c:pt idx="167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4">
                  <c:v>1</c:v>
                </c:pt>
                <c:pt idx="185">
                  <c:v>1</c:v>
                </c:pt>
                <c:pt idx="191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00">
                  <c:v>1</c:v>
                </c:pt>
                <c:pt idx="201">
                  <c:v>1</c:v>
                </c:pt>
                <c:pt idx="203">
                  <c:v>1</c:v>
                </c:pt>
                <c:pt idx="206">
                  <c:v>1</c:v>
                </c:pt>
                <c:pt idx="207">
                  <c:v>1</c:v>
                </c:pt>
                <c:pt idx="214">
                  <c:v>1</c:v>
                </c:pt>
                <c:pt idx="216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5">
                  <c:v>1</c:v>
                </c:pt>
                <c:pt idx="226">
                  <c:v>1</c:v>
                </c:pt>
                <c:pt idx="230">
                  <c:v>1</c:v>
                </c:pt>
                <c:pt idx="232">
                  <c:v>1</c:v>
                </c:pt>
                <c:pt idx="234">
                  <c:v>1</c:v>
                </c:pt>
                <c:pt idx="238">
                  <c:v>1</c:v>
                </c:pt>
                <c:pt idx="239">
                  <c:v>1</c:v>
                </c:pt>
                <c:pt idx="244">
                  <c:v>1</c:v>
                </c:pt>
                <c:pt idx="248">
                  <c:v>1</c:v>
                </c:pt>
                <c:pt idx="250">
                  <c:v>1</c:v>
                </c:pt>
                <c:pt idx="256">
                  <c:v>1</c:v>
                </c:pt>
                <c:pt idx="260">
                  <c:v>1</c:v>
                </c:pt>
                <c:pt idx="261">
                  <c:v>1</c:v>
                </c:pt>
                <c:pt idx="268">
                  <c:v>1</c:v>
                </c:pt>
                <c:pt idx="273">
                  <c:v>1</c:v>
                </c:pt>
                <c:pt idx="274">
                  <c:v>1</c:v>
                </c:pt>
                <c:pt idx="277">
                  <c:v>1</c:v>
                </c:pt>
                <c:pt idx="280">
                  <c:v>1</c:v>
                </c:pt>
                <c:pt idx="283">
                  <c:v>1</c:v>
                </c:pt>
                <c:pt idx="284">
                  <c:v>1</c:v>
                </c:pt>
                <c:pt idx="288">
                  <c:v>1</c:v>
                </c:pt>
                <c:pt idx="291">
                  <c:v>1</c:v>
                </c:pt>
                <c:pt idx="293">
                  <c:v>1</c:v>
                </c:pt>
                <c:pt idx="297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10">
                  <c:v>1</c:v>
                </c:pt>
                <c:pt idx="313">
                  <c:v>1</c:v>
                </c:pt>
                <c:pt idx="315">
                  <c:v>1</c:v>
                </c:pt>
                <c:pt idx="319">
                  <c:v>1</c:v>
                </c:pt>
                <c:pt idx="320">
                  <c:v>1</c:v>
                </c:pt>
                <c:pt idx="324">
                  <c:v>1</c:v>
                </c:pt>
                <c:pt idx="325">
                  <c:v>1</c:v>
                </c:pt>
                <c:pt idx="334">
                  <c:v>1</c:v>
                </c:pt>
                <c:pt idx="340">
                  <c:v>1</c:v>
                </c:pt>
                <c:pt idx="343">
                  <c:v>1</c:v>
                </c:pt>
                <c:pt idx="344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  <c:pt idx="3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83-7C49-83FF-B01D043E2E02}"/>
            </c:ext>
          </c:extLst>
        </c:ser>
        <c:ser>
          <c:idx val="15"/>
          <c:order val="1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Finished_Jobs!$T$1:$T$367</c:f>
              <c:numCache>
                <c:formatCode>General</c:formatCode>
                <c:ptCount val="367"/>
                <c:pt idx="0">
                  <c:v>0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5">
                  <c:v>1</c:v>
                </c:pt>
                <c:pt idx="37">
                  <c:v>1</c:v>
                </c:pt>
                <c:pt idx="47">
                  <c:v>1</c:v>
                </c:pt>
                <c:pt idx="50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71">
                  <c:v>1</c:v>
                </c:pt>
                <c:pt idx="81">
                  <c:v>1</c:v>
                </c:pt>
                <c:pt idx="95">
                  <c:v>1</c:v>
                </c:pt>
                <c:pt idx="96">
                  <c:v>1</c:v>
                </c:pt>
                <c:pt idx="98">
                  <c:v>1</c:v>
                </c:pt>
                <c:pt idx="100">
                  <c:v>1</c:v>
                </c:pt>
                <c:pt idx="127">
                  <c:v>1</c:v>
                </c:pt>
                <c:pt idx="129">
                  <c:v>1</c:v>
                </c:pt>
                <c:pt idx="151">
                  <c:v>1</c:v>
                </c:pt>
                <c:pt idx="152">
                  <c:v>1</c:v>
                </c:pt>
                <c:pt idx="171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91">
                  <c:v>1</c:v>
                </c:pt>
                <c:pt idx="196">
                  <c:v>1</c:v>
                </c:pt>
                <c:pt idx="203">
                  <c:v>1</c:v>
                </c:pt>
                <c:pt idx="206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3">
                  <c:v>1</c:v>
                </c:pt>
                <c:pt idx="226">
                  <c:v>1</c:v>
                </c:pt>
                <c:pt idx="232">
                  <c:v>1</c:v>
                </c:pt>
                <c:pt idx="246">
                  <c:v>1</c:v>
                </c:pt>
                <c:pt idx="252">
                  <c:v>1</c:v>
                </c:pt>
                <c:pt idx="260">
                  <c:v>1</c:v>
                </c:pt>
                <c:pt idx="263">
                  <c:v>1</c:v>
                </c:pt>
                <c:pt idx="266">
                  <c:v>1</c:v>
                </c:pt>
                <c:pt idx="273">
                  <c:v>1</c:v>
                </c:pt>
                <c:pt idx="277">
                  <c:v>1</c:v>
                </c:pt>
                <c:pt idx="280">
                  <c:v>1</c:v>
                </c:pt>
                <c:pt idx="281">
                  <c:v>1</c:v>
                </c:pt>
                <c:pt idx="284">
                  <c:v>1</c:v>
                </c:pt>
                <c:pt idx="288">
                  <c:v>1</c:v>
                </c:pt>
                <c:pt idx="293">
                  <c:v>1</c:v>
                </c:pt>
                <c:pt idx="300">
                  <c:v>1</c:v>
                </c:pt>
                <c:pt idx="301">
                  <c:v>1</c:v>
                </c:pt>
                <c:pt idx="310">
                  <c:v>1</c:v>
                </c:pt>
                <c:pt idx="313">
                  <c:v>1</c:v>
                </c:pt>
                <c:pt idx="319">
                  <c:v>1</c:v>
                </c:pt>
                <c:pt idx="321">
                  <c:v>1</c:v>
                </c:pt>
                <c:pt idx="324">
                  <c:v>1</c:v>
                </c:pt>
                <c:pt idx="325">
                  <c:v>1</c:v>
                </c:pt>
                <c:pt idx="329">
                  <c:v>1</c:v>
                </c:pt>
                <c:pt idx="334">
                  <c:v>1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4">
                  <c:v>1</c:v>
                </c:pt>
                <c:pt idx="353">
                  <c:v>1</c:v>
                </c:pt>
                <c:pt idx="358">
                  <c:v>1</c:v>
                </c:pt>
                <c:pt idx="359">
                  <c:v>1</c:v>
                </c:pt>
                <c:pt idx="3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83-7C49-83FF-B01D043E2E0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Finished_Jobs!$U$1:$U$367</c:f>
              <c:numCache>
                <c:formatCode>General</c:formatCode>
                <c:ptCount val="367"/>
                <c:pt idx="0">
                  <c:v>0</c:v>
                </c:pt>
                <c:pt idx="9">
                  <c:v>1</c:v>
                </c:pt>
                <c:pt idx="11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42">
                  <c:v>1</c:v>
                </c:pt>
                <c:pt idx="50">
                  <c:v>1</c:v>
                </c:pt>
                <c:pt idx="52">
                  <c:v>1</c:v>
                </c:pt>
                <c:pt idx="65">
                  <c:v>1</c:v>
                </c:pt>
                <c:pt idx="73">
                  <c:v>1</c:v>
                </c:pt>
                <c:pt idx="95">
                  <c:v>1</c:v>
                </c:pt>
                <c:pt idx="139">
                  <c:v>1</c:v>
                </c:pt>
                <c:pt idx="152">
                  <c:v>1</c:v>
                </c:pt>
                <c:pt idx="183">
                  <c:v>1</c:v>
                </c:pt>
                <c:pt idx="191">
                  <c:v>1</c:v>
                </c:pt>
                <c:pt idx="223">
                  <c:v>1</c:v>
                </c:pt>
                <c:pt idx="279">
                  <c:v>1</c:v>
                </c:pt>
                <c:pt idx="313">
                  <c:v>1</c:v>
                </c:pt>
                <c:pt idx="3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83-7C49-83FF-B01D043E2E02}"/>
            </c:ext>
          </c:extLst>
        </c:ser>
        <c:ser>
          <c:idx val="17"/>
          <c:order val="1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Finished_Jobs!$V$1:$V$367</c:f>
              <c:numCache>
                <c:formatCode>General</c:formatCode>
                <c:ptCount val="367"/>
                <c:pt idx="0">
                  <c:v>0</c:v>
                </c:pt>
                <c:pt idx="3">
                  <c:v>1</c:v>
                </c:pt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19">
                  <c:v>1</c:v>
                </c:pt>
                <c:pt idx="27">
                  <c:v>1</c:v>
                </c:pt>
                <c:pt idx="32">
                  <c:v>1</c:v>
                </c:pt>
                <c:pt idx="43">
                  <c:v>1</c:v>
                </c:pt>
                <c:pt idx="44">
                  <c:v>1</c:v>
                </c:pt>
                <c:pt idx="48">
                  <c:v>1</c:v>
                </c:pt>
                <c:pt idx="58">
                  <c:v>1</c:v>
                </c:pt>
                <c:pt idx="76">
                  <c:v>1</c:v>
                </c:pt>
                <c:pt idx="81">
                  <c:v>1</c:v>
                </c:pt>
                <c:pt idx="83">
                  <c:v>1</c:v>
                </c:pt>
                <c:pt idx="94">
                  <c:v>1</c:v>
                </c:pt>
                <c:pt idx="104">
                  <c:v>1</c:v>
                </c:pt>
                <c:pt idx="118">
                  <c:v>1</c:v>
                </c:pt>
                <c:pt idx="120">
                  <c:v>1</c:v>
                </c:pt>
                <c:pt idx="127">
                  <c:v>1</c:v>
                </c:pt>
                <c:pt idx="134">
                  <c:v>1</c:v>
                </c:pt>
                <c:pt idx="143">
                  <c:v>1</c:v>
                </c:pt>
                <c:pt idx="174">
                  <c:v>1</c:v>
                </c:pt>
                <c:pt idx="182">
                  <c:v>1</c:v>
                </c:pt>
                <c:pt idx="191">
                  <c:v>1</c:v>
                </c:pt>
                <c:pt idx="202">
                  <c:v>1</c:v>
                </c:pt>
                <c:pt idx="212">
                  <c:v>1</c:v>
                </c:pt>
                <c:pt idx="218">
                  <c:v>1</c:v>
                </c:pt>
                <c:pt idx="224">
                  <c:v>1</c:v>
                </c:pt>
                <c:pt idx="238">
                  <c:v>1</c:v>
                </c:pt>
                <c:pt idx="263">
                  <c:v>1</c:v>
                </c:pt>
                <c:pt idx="270">
                  <c:v>1</c:v>
                </c:pt>
                <c:pt idx="278">
                  <c:v>1</c:v>
                </c:pt>
                <c:pt idx="281">
                  <c:v>1</c:v>
                </c:pt>
                <c:pt idx="289">
                  <c:v>1</c:v>
                </c:pt>
                <c:pt idx="290">
                  <c:v>1</c:v>
                </c:pt>
                <c:pt idx="293">
                  <c:v>1</c:v>
                </c:pt>
                <c:pt idx="299">
                  <c:v>1</c:v>
                </c:pt>
                <c:pt idx="308">
                  <c:v>1</c:v>
                </c:pt>
                <c:pt idx="314">
                  <c:v>1</c:v>
                </c:pt>
                <c:pt idx="315">
                  <c:v>1</c:v>
                </c:pt>
                <c:pt idx="322">
                  <c:v>1</c:v>
                </c:pt>
                <c:pt idx="326">
                  <c:v>1</c:v>
                </c:pt>
                <c:pt idx="331">
                  <c:v>1</c:v>
                </c:pt>
                <c:pt idx="335">
                  <c:v>1</c:v>
                </c:pt>
                <c:pt idx="336">
                  <c:v>1</c:v>
                </c:pt>
                <c:pt idx="340">
                  <c:v>1</c:v>
                </c:pt>
                <c:pt idx="341">
                  <c:v>1</c:v>
                </c:pt>
                <c:pt idx="343">
                  <c:v>1</c:v>
                </c:pt>
                <c:pt idx="345">
                  <c:v>1</c:v>
                </c:pt>
                <c:pt idx="349">
                  <c:v>1</c:v>
                </c:pt>
                <c:pt idx="351">
                  <c:v>1</c:v>
                </c:pt>
                <c:pt idx="352">
                  <c:v>1</c:v>
                </c:pt>
                <c:pt idx="357">
                  <c:v>1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83-7C49-83FF-B01D043E2E02}"/>
            </c:ext>
          </c:extLst>
        </c:ser>
        <c:ser>
          <c:idx val="18"/>
          <c:order val="18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Finished_Jobs!$W$1:$W$367</c:f>
              <c:numCache>
                <c:formatCode>General</c:formatCode>
                <c:ptCount val="367"/>
                <c:pt idx="0">
                  <c:v>0</c:v>
                </c:pt>
                <c:pt idx="4">
                  <c:v>1</c:v>
                </c:pt>
                <c:pt idx="72">
                  <c:v>1</c:v>
                </c:pt>
                <c:pt idx="158">
                  <c:v>1</c:v>
                </c:pt>
                <c:pt idx="186">
                  <c:v>1</c:v>
                </c:pt>
                <c:pt idx="191">
                  <c:v>1</c:v>
                </c:pt>
                <c:pt idx="200">
                  <c:v>1</c:v>
                </c:pt>
                <c:pt idx="3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83-7C49-83FF-B01D043E2E02}"/>
            </c:ext>
          </c:extLst>
        </c:ser>
        <c:ser>
          <c:idx val="19"/>
          <c:order val="19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Finished_Jobs!$X$1:$X$367</c:f>
              <c:numCache>
                <c:formatCode>General</c:formatCode>
                <c:ptCount val="367"/>
                <c:pt idx="0">
                  <c:v>0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51">
                  <c:v>1</c:v>
                </c:pt>
                <c:pt idx="55">
                  <c:v>1</c:v>
                </c:pt>
                <c:pt idx="82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83-7C49-83FF-B01D043E2E02}"/>
            </c:ext>
          </c:extLst>
        </c:ser>
        <c:ser>
          <c:idx val="20"/>
          <c:order val="20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Finished_Jobs!$Y$1:$Y$367</c:f>
              <c:numCache>
                <c:formatCode>General</c:formatCode>
                <c:ptCount val="367"/>
                <c:pt idx="0">
                  <c:v>0</c:v>
                </c:pt>
                <c:pt idx="1">
                  <c:v>1824.9199999999998</c:v>
                </c:pt>
                <c:pt idx="2">
                  <c:v>3217.58</c:v>
                </c:pt>
                <c:pt idx="3">
                  <c:v>1779</c:v>
                </c:pt>
                <c:pt idx="4">
                  <c:v>4543.66</c:v>
                </c:pt>
                <c:pt idx="5">
                  <c:v>402.5</c:v>
                </c:pt>
                <c:pt idx="6">
                  <c:v>3306.9</c:v>
                </c:pt>
                <c:pt idx="7">
                  <c:v>764.02</c:v>
                </c:pt>
                <c:pt idx="8">
                  <c:v>4049.5060000000003</c:v>
                </c:pt>
                <c:pt idx="9">
                  <c:v>5866.46</c:v>
                </c:pt>
                <c:pt idx="10">
                  <c:v>961.40000000000009</c:v>
                </c:pt>
                <c:pt idx="11">
                  <c:v>2542.3599999999997</c:v>
                </c:pt>
                <c:pt idx="12">
                  <c:v>854.30000000000007</c:v>
                </c:pt>
                <c:pt idx="13">
                  <c:v>456.30000000000007</c:v>
                </c:pt>
                <c:pt idx="14">
                  <c:v>5262.4800000000005</c:v>
                </c:pt>
                <c:pt idx="15">
                  <c:v>766.2</c:v>
                </c:pt>
                <c:pt idx="16">
                  <c:v>398.5</c:v>
                </c:pt>
                <c:pt idx="17">
                  <c:v>2391.4</c:v>
                </c:pt>
                <c:pt idx="18">
                  <c:v>5937.6</c:v>
                </c:pt>
                <c:pt idx="19">
                  <c:v>2693.44</c:v>
                </c:pt>
                <c:pt idx="20">
                  <c:v>1688.58</c:v>
                </c:pt>
                <c:pt idx="21">
                  <c:v>3188.2</c:v>
                </c:pt>
                <c:pt idx="22">
                  <c:v>2041.7400000000002</c:v>
                </c:pt>
                <c:pt idx="23">
                  <c:v>1736.3</c:v>
                </c:pt>
                <c:pt idx="24">
                  <c:v>676.3</c:v>
                </c:pt>
                <c:pt idx="25">
                  <c:v>746</c:v>
                </c:pt>
                <c:pt idx="26">
                  <c:v>4047.6600000000003</c:v>
                </c:pt>
                <c:pt idx="27">
                  <c:v>2617.9000000000005</c:v>
                </c:pt>
                <c:pt idx="28">
                  <c:v>7076.6</c:v>
                </c:pt>
                <c:pt idx="29">
                  <c:v>769.84</c:v>
                </c:pt>
                <c:pt idx="30">
                  <c:v>2268.3000000000002</c:v>
                </c:pt>
                <c:pt idx="31">
                  <c:v>1662.21</c:v>
                </c:pt>
                <c:pt idx="32">
                  <c:v>1370.76</c:v>
                </c:pt>
                <c:pt idx="33">
                  <c:v>1702.72</c:v>
                </c:pt>
                <c:pt idx="34">
                  <c:v>394.52</c:v>
                </c:pt>
                <c:pt idx="35">
                  <c:v>661.26</c:v>
                </c:pt>
                <c:pt idx="36">
                  <c:v>688.34</c:v>
                </c:pt>
                <c:pt idx="37">
                  <c:v>11253</c:v>
                </c:pt>
                <c:pt idx="38">
                  <c:v>2535.5</c:v>
                </c:pt>
                <c:pt idx="39">
                  <c:v>978</c:v>
                </c:pt>
                <c:pt idx="40">
                  <c:v>575.84</c:v>
                </c:pt>
                <c:pt idx="41">
                  <c:v>495.1</c:v>
                </c:pt>
                <c:pt idx="42">
                  <c:v>2815.6000000000004</c:v>
                </c:pt>
                <c:pt idx="43">
                  <c:v>1878.18</c:v>
                </c:pt>
                <c:pt idx="44">
                  <c:v>959.4</c:v>
                </c:pt>
                <c:pt idx="45">
                  <c:v>740.72800000000007</c:v>
                </c:pt>
                <c:pt idx="46">
                  <c:v>470.6</c:v>
                </c:pt>
                <c:pt idx="47">
                  <c:v>1132.02</c:v>
                </c:pt>
                <c:pt idx="48">
                  <c:v>1890.7080000000001</c:v>
                </c:pt>
                <c:pt idx="49">
                  <c:v>252.32</c:v>
                </c:pt>
                <c:pt idx="50">
                  <c:v>2303.1</c:v>
                </c:pt>
                <c:pt idx="51">
                  <c:v>2998.88</c:v>
                </c:pt>
                <c:pt idx="52">
                  <c:v>3886.78</c:v>
                </c:pt>
                <c:pt idx="53">
                  <c:v>605.4</c:v>
                </c:pt>
                <c:pt idx="54">
                  <c:v>239.60000000000002</c:v>
                </c:pt>
                <c:pt idx="55">
                  <c:v>1681.5</c:v>
                </c:pt>
                <c:pt idx="56">
                  <c:v>1688.5</c:v>
                </c:pt>
                <c:pt idx="57">
                  <c:v>3658.8040000000001</c:v>
                </c:pt>
                <c:pt idx="58">
                  <c:v>2551.08</c:v>
                </c:pt>
                <c:pt idx="59">
                  <c:v>759.26</c:v>
                </c:pt>
                <c:pt idx="60">
                  <c:v>525.74</c:v>
                </c:pt>
                <c:pt idx="61">
                  <c:v>2188.1</c:v>
                </c:pt>
                <c:pt idx="62">
                  <c:v>3099</c:v>
                </c:pt>
                <c:pt idx="63">
                  <c:v>3051.2</c:v>
                </c:pt>
                <c:pt idx="64">
                  <c:v>474.02</c:v>
                </c:pt>
                <c:pt idx="65">
                  <c:v>2547.1840000000002</c:v>
                </c:pt>
                <c:pt idx="66">
                  <c:v>843.88</c:v>
                </c:pt>
                <c:pt idx="67">
                  <c:v>665.7</c:v>
                </c:pt>
                <c:pt idx="68">
                  <c:v>1089</c:v>
                </c:pt>
                <c:pt idx="69">
                  <c:v>1692.8</c:v>
                </c:pt>
                <c:pt idx="70">
                  <c:v>7987.5</c:v>
                </c:pt>
                <c:pt idx="71">
                  <c:v>1131.6600000000001</c:v>
                </c:pt>
                <c:pt idx="72">
                  <c:v>896.32</c:v>
                </c:pt>
                <c:pt idx="73">
                  <c:v>3414.6600000000003</c:v>
                </c:pt>
                <c:pt idx="74">
                  <c:v>1014.2</c:v>
                </c:pt>
                <c:pt idx="75">
                  <c:v>2087.38</c:v>
                </c:pt>
                <c:pt idx="76">
                  <c:v>1952.7</c:v>
                </c:pt>
                <c:pt idx="77">
                  <c:v>284.5</c:v>
                </c:pt>
                <c:pt idx="78">
                  <c:v>1708.7</c:v>
                </c:pt>
                <c:pt idx="79">
                  <c:v>638.20000000000005</c:v>
                </c:pt>
                <c:pt idx="80">
                  <c:v>238.68</c:v>
                </c:pt>
                <c:pt idx="81">
                  <c:v>1027</c:v>
                </c:pt>
                <c:pt idx="82">
                  <c:v>3734.84</c:v>
                </c:pt>
                <c:pt idx="83">
                  <c:v>1793.1</c:v>
                </c:pt>
                <c:pt idx="84">
                  <c:v>938.8</c:v>
                </c:pt>
                <c:pt idx="85">
                  <c:v>237.5</c:v>
                </c:pt>
                <c:pt idx="86">
                  <c:v>1531.88</c:v>
                </c:pt>
                <c:pt idx="87">
                  <c:v>3031.04</c:v>
                </c:pt>
                <c:pt idx="88">
                  <c:v>768.16</c:v>
                </c:pt>
                <c:pt idx="89">
                  <c:v>4812.7</c:v>
                </c:pt>
                <c:pt idx="90">
                  <c:v>4001.2000000000003</c:v>
                </c:pt>
                <c:pt idx="91">
                  <c:v>501</c:v>
                </c:pt>
                <c:pt idx="92">
                  <c:v>1500.16</c:v>
                </c:pt>
                <c:pt idx="93">
                  <c:v>476.2</c:v>
                </c:pt>
                <c:pt idx="94">
                  <c:v>1852.94</c:v>
                </c:pt>
                <c:pt idx="95">
                  <c:v>8006.8</c:v>
                </c:pt>
                <c:pt idx="96">
                  <c:v>4936.1000000000004</c:v>
                </c:pt>
                <c:pt idx="97">
                  <c:v>907.80000000000007</c:v>
                </c:pt>
                <c:pt idx="98">
                  <c:v>2284.5</c:v>
                </c:pt>
                <c:pt idx="99">
                  <c:v>2032.1</c:v>
                </c:pt>
                <c:pt idx="100">
                  <c:v>1187.58</c:v>
                </c:pt>
                <c:pt idx="101">
                  <c:v>381</c:v>
                </c:pt>
                <c:pt idx="102">
                  <c:v>905.18000000000006</c:v>
                </c:pt>
                <c:pt idx="103">
                  <c:v>872.3</c:v>
                </c:pt>
                <c:pt idx="104">
                  <c:v>1841.12</c:v>
                </c:pt>
                <c:pt idx="105">
                  <c:v>2507.3000000000002</c:v>
                </c:pt>
                <c:pt idx="106">
                  <c:v>1917.8400000000001</c:v>
                </c:pt>
                <c:pt idx="107">
                  <c:v>460</c:v>
                </c:pt>
                <c:pt idx="108">
                  <c:v>1910.88</c:v>
                </c:pt>
                <c:pt idx="109">
                  <c:v>367</c:v>
                </c:pt>
                <c:pt idx="110">
                  <c:v>597.20000000000005</c:v>
                </c:pt>
                <c:pt idx="111">
                  <c:v>680.6400000000001</c:v>
                </c:pt>
                <c:pt idx="112">
                  <c:v>677.5</c:v>
                </c:pt>
                <c:pt idx="113">
                  <c:v>811.94</c:v>
                </c:pt>
                <c:pt idx="114">
                  <c:v>472.4</c:v>
                </c:pt>
                <c:pt idx="115">
                  <c:v>300.60000000000002</c:v>
                </c:pt>
                <c:pt idx="116">
                  <c:v>5701.6</c:v>
                </c:pt>
                <c:pt idx="117">
                  <c:v>986.40000000000009</c:v>
                </c:pt>
                <c:pt idx="118">
                  <c:v>1509.1</c:v>
                </c:pt>
                <c:pt idx="119">
                  <c:v>3238</c:v>
                </c:pt>
                <c:pt idx="120">
                  <c:v>1682.46</c:v>
                </c:pt>
                <c:pt idx="121">
                  <c:v>3649.6</c:v>
                </c:pt>
                <c:pt idx="122">
                  <c:v>2456.44</c:v>
                </c:pt>
                <c:pt idx="123">
                  <c:v>4549.18</c:v>
                </c:pt>
                <c:pt idx="124">
                  <c:v>1036.8</c:v>
                </c:pt>
                <c:pt idx="125">
                  <c:v>1857</c:v>
                </c:pt>
                <c:pt idx="126">
                  <c:v>815.6</c:v>
                </c:pt>
                <c:pt idx="127">
                  <c:v>996.2</c:v>
                </c:pt>
                <c:pt idx="128">
                  <c:v>1453.1</c:v>
                </c:pt>
                <c:pt idx="129">
                  <c:v>2379.06</c:v>
                </c:pt>
                <c:pt idx="130">
                  <c:v>1479.38</c:v>
                </c:pt>
                <c:pt idx="131">
                  <c:v>486.3</c:v>
                </c:pt>
                <c:pt idx="132">
                  <c:v>1056.2</c:v>
                </c:pt>
                <c:pt idx="133">
                  <c:v>441.5</c:v>
                </c:pt>
                <c:pt idx="134">
                  <c:v>2379.6999999999998</c:v>
                </c:pt>
                <c:pt idx="135">
                  <c:v>1131.4000000000001</c:v>
                </c:pt>
                <c:pt idx="136">
                  <c:v>997.42000000000007</c:v>
                </c:pt>
                <c:pt idx="137">
                  <c:v>851.1</c:v>
                </c:pt>
                <c:pt idx="138">
                  <c:v>3388.62</c:v>
                </c:pt>
                <c:pt idx="139">
                  <c:v>823</c:v>
                </c:pt>
                <c:pt idx="140">
                  <c:v>421.1</c:v>
                </c:pt>
                <c:pt idx="141">
                  <c:v>807</c:v>
                </c:pt>
                <c:pt idx="142">
                  <c:v>333</c:v>
                </c:pt>
                <c:pt idx="143">
                  <c:v>843.8</c:v>
                </c:pt>
                <c:pt idx="144">
                  <c:v>120</c:v>
                </c:pt>
                <c:pt idx="145">
                  <c:v>895</c:v>
                </c:pt>
                <c:pt idx="146">
                  <c:v>1718.6</c:v>
                </c:pt>
                <c:pt idx="147">
                  <c:v>1179.2</c:v>
                </c:pt>
                <c:pt idx="148">
                  <c:v>1825.3400000000001</c:v>
                </c:pt>
                <c:pt idx="149">
                  <c:v>3801.3</c:v>
                </c:pt>
                <c:pt idx="150">
                  <c:v>714.8</c:v>
                </c:pt>
                <c:pt idx="151">
                  <c:v>4559.0600000000004</c:v>
                </c:pt>
                <c:pt idx="152">
                  <c:v>2348</c:v>
                </c:pt>
                <c:pt idx="153">
                  <c:v>135.19999999999999</c:v>
                </c:pt>
                <c:pt idx="154">
                  <c:v>637.34</c:v>
                </c:pt>
                <c:pt idx="155">
                  <c:v>596.20000000000005</c:v>
                </c:pt>
                <c:pt idx="156">
                  <c:v>3335.6</c:v>
                </c:pt>
                <c:pt idx="157">
                  <c:v>143.9</c:v>
                </c:pt>
                <c:pt idx="158">
                  <c:v>3834.4800000000005</c:v>
                </c:pt>
                <c:pt idx="159">
                  <c:v>1229.9000000000001</c:v>
                </c:pt>
                <c:pt idx="160">
                  <c:v>1013.76</c:v>
                </c:pt>
                <c:pt idx="161">
                  <c:v>3983</c:v>
                </c:pt>
                <c:pt idx="162">
                  <c:v>1022.0999999999999</c:v>
                </c:pt>
                <c:pt idx="163">
                  <c:v>594</c:v>
                </c:pt>
                <c:pt idx="164">
                  <c:v>5910.02</c:v>
                </c:pt>
                <c:pt idx="165">
                  <c:v>251.2</c:v>
                </c:pt>
                <c:pt idx="166">
                  <c:v>633.20000000000005</c:v>
                </c:pt>
                <c:pt idx="167">
                  <c:v>977.50000000000011</c:v>
                </c:pt>
                <c:pt idx="168">
                  <c:v>241</c:v>
                </c:pt>
                <c:pt idx="169">
                  <c:v>1410.4</c:v>
                </c:pt>
                <c:pt idx="170">
                  <c:v>2596.4</c:v>
                </c:pt>
                <c:pt idx="171">
                  <c:v>2339.94</c:v>
                </c:pt>
                <c:pt idx="172">
                  <c:v>255.57999999999998</c:v>
                </c:pt>
                <c:pt idx="173">
                  <c:v>697.28</c:v>
                </c:pt>
                <c:pt idx="174">
                  <c:v>1282.7</c:v>
                </c:pt>
                <c:pt idx="175">
                  <c:v>667.78</c:v>
                </c:pt>
                <c:pt idx="176">
                  <c:v>372.4</c:v>
                </c:pt>
                <c:pt idx="177">
                  <c:v>818.2</c:v>
                </c:pt>
                <c:pt idx="178">
                  <c:v>2166.12</c:v>
                </c:pt>
                <c:pt idx="179">
                  <c:v>1349.96</c:v>
                </c:pt>
                <c:pt idx="180">
                  <c:v>1347.12</c:v>
                </c:pt>
                <c:pt idx="181">
                  <c:v>965.28000000000009</c:v>
                </c:pt>
                <c:pt idx="182">
                  <c:v>6027.88</c:v>
                </c:pt>
                <c:pt idx="183">
                  <c:v>792.46</c:v>
                </c:pt>
                <c:pt idx="184">
                  <c:v>391.96000000000004</c:v>
                </c:pt>
                <c:pt idx="185">
                  <c:v>3985.58</c:v>
                </c:pt>
                <c:pt idx="186">
                  <c:v>1994.72</c:v>
                </c:pt>
                <c:pt idx="187">
                  <c:v>2230.8000000000002</c:v>
                </c:pt>
                <c:pt idx="188">
                  <c:v>428.5</c:v>
                </c:pt>
                <c:pt idx="189">
                  <c:v>580.79999999999995</c:v>
                </c:pt>
                <c:pt idx="190">
                  <c:v>388.7</c:v>
                </c:pt>
                <c:pt idx="191">
                  <c:v>11606.1</c:v>
                </c:pt>
                <c:pt idx="192">
                  <c:v>3074.2</c:v>
                </c:pt>
                <c:pt idx="193">
                  <c:v>2526.3999999999996</c:v>
                </c:pt>
                <c:pt idx="194">
                  <c:v>3169.3</c:v>
                </c:pt>
                <c:pt idx="195">
                  <c:v>1794.1999999999998</c:v>
                </c:pt>
                <c:pt idx="196">
                  <c:v>6227.1200000000008</c:v>
                </c:pt>
                <c:pt idx="197">
                  <c:v>146.19999999999999</c:v>
                </c:pt>
                <c:pt idx="198">
                  <c:v>830.72</c:v>
                </c:pt>
                <c:pt idx="199">
                  <c:v>2508.36</c:v>
                </c:pt>
                <c:pt idx="200">
                  <c:v>1429.3999999999999</c:v>
                </c:pt>
                <c:pt idx="201">
                  <c:v>4181.3999999999996</c:v>
                </c:pt>
                <c:pt idx="202">
                  <c:v>922</c:v>
                </c:pt>
                <c:pt idx="203">
                  <c:v>6717.9</c:v>
                </c:pt>
                <c:pt idx="204">
                  <c:v>2679.5</c:v>
                </c:pt>
                <c:pt idx="205">
                  <c:v>337.8</c:v>
                </c:pt>
                <c:pt idx="206">
                  <c:v>1096.7</c:v>
                </c:pt>
                <c:pt idx="207">
                  <c:v>11008.2</c:v>
                </c:pt>
                <c:pt idx="208">
                  <c:v>314.68</c:v>
                </c:pt>
                <c:pt idx="209">
                  <c:v>254.35999999999999</c:v>
                </c:pt>
                <c:pt idx="210">
                  <c:v>771.18000000000006</c:v>
                </c:pt>
                <c:pt idx="211">
                  <c:v>83</c:v>
                </c:pt>
                <c:pt idx="212">
                  <c:v>1858.2</c:v>
                </c:pt>
                <c:pt idx="213">
                  <c:v>771.8</c:v>
                </c:pt>
                <c:pt idx="214">
                  <c:v>8557.9</c:v>
                </c:pt>
                <c:pt idx="215">
                  <c:v>4223.76</c:v>
                </c:pt>
                <c:pt idx="216">
                  <c:v>572.9</c:v>
                </c:pt>
                <c:pt idx="217">
                  <c:v>3030.8</c:v>
                </c:pt>
                <c:pt idx="218">
                  <c:v>996.8</c:v>
                </c:pt>
                <c:pt idx="219">
                  <c:v>1393.1</c:v>
                </c:pt>
                <c:pt idx="220">
                  <c:v>10457.700000000001</c:v>
                </c:pt>
                <c:pt idx="221">
                  <c:v>185.64000000000001</c:v>
                </c:pt>
                <c:pt idx="222">
                  <c:v>2334.6</c:v>
                </c:pt>
                <c:pt idx="223">
                  <c:v>913.62</c:v>
                </c:pt>
                <c:pt idx="224">
                  <c:v>1838.2</c:v>
                </c:pt>
                <c:pt idx="225">
                  <c:v>2160</c:v>
                </c:pt>
                <c:pt idx="226">
                  <c:v>4104.76</c:v>
                </c:pt>
                <c:pt idx="227">
                  <c:v>6642.2</c:v>
                </c:pt>
                <c:pt idx="228">
                  <c:v>328</c:v>
                </c:pt>
                <c:pt idx="229">
                  <c:v>254</c:v>
                </c:pt>
                <c:pt idx="230">
                  <c:v>982.98</c:v>
                </c:pt>
                <c:pt idx="231">
                  <c:v>938.9</c:v>
                </c:pt>
                <c:pt idx="232">
                  <c:v>1040.0999999999999</c:v>
                </c:pt>
                <c:pt idx="233">
                  <c:v>1446.9</c:v>
                </c:pt>
                <c:pt idx="234">
                  <c:v>2415</c:v>
                </c:pt>
                <c:pt idx="235">
                  <c:v>2348.6</c:v>
                </c:pt>
                <c:pt idx="236">
                  <c:v>809</c:v>
                </c:pt>
                <c:pt idx="237">
                  <c:v>1180.2</c:v>
                </c:pt>
                <c:pt idx="238">
                  <c:v>2960.08</c:v>
                </c:pt>
                <c:pt idx="239">
                  <c:v>2419.54</c:v>
                </c:pt>
                <c:pt idx="240">
                  <c:v>401.48</c:v>
                </c:pt>
                <c:pt idx="241">
                  <c:v>1103.92</c:v>
                </c:pt>
                <c:pt idx="242">
                  <c:v>732.7</c:v>
                </c:pt>
                <c:pt idx="243">
                  <c:v>4690.8</c:v>
                </c:pt>
                <c:pt idx="244">
                  <c:v>3599.18</c:v>
                </c:pt>
                <c:pt idx="245">
                  <c:v>1651</c:v>
                </c:pt>
                <c:pt idx="246">
                  <c:v>8327.7000000000007</c:v>
                </c:pt>
                <c:pt idx="247">
                  <c:v>1014.5</c:v>
                </c:pt>
                <c:pt idx="248">
                  <c:v>2528.6</c:v>
                </c:pt>
                <c:pt idx="249">
                  <c:v>2329.9</c:v>
                </c:pt>
                <c:pt idx="250">
                  <c:v>4921.38</c:v>
                </c:pt>
                <c:pt idx="251">
                  <c:v>583</c:v>
                </c:pt>
                <c:pt idx="252">
                  <c:v>703.5</c:v>
                </c:pt>
                <c:pt idx="253">
                  <c:v>607.92000000000007</c:v>
                </c:pt>
                <c:pt idx="254">
                  <c:v>1353.9</c:v>
                </c:pt>
                <c:pt idx="255">
                  <c:v>2154.1000000000004</c:v>
                </c:pt>
                <c:pt idx="256">
                  <c:v>1622.8600000000001</c:v>
                </c:pt>
                <c:pt idx="257">
                  <c:v>275.7</c:v>
                </c:pt>
                <c:pt idx="258">
                  <c:v>1862.4</c:v>
                </c:pt>
                <c:pt idx="259">
                  <c:v>502.8</c:v>
                </c:pt>
                <c:pt idx="260">
                  <c:v>729.6</c:v>
                </c:pt>
                <c:pt idx="261">
                  <c:v>1941.2</c:v>
                </c:pt>
                <c:pt idx="262">
                  <c:v>2246.6999999999998</c:v>
                </c:pt>
                <c:pt idx="263">
                  <c:v>2015.1000000000001</c:v>
                </c:pt>
                <c:pt idx="264">
                  <c:v>799.88000000000011</c:v>
                </c:pt>
                <c:pt idx="265">
                  <c:v>1060.0600000000002</c:v>
                </c:pt>
                <c:pt idx="266">
                  <c:v>1501.1</c:v>
                </c:pt>
                <c:pt idx="267">
                  <c:v>1196.4000000000001</c:v>
                </c:pt>
                <c:pt idx="268">
                  <c:v>940.4</c:v>
                </c:pt>
                <c:pt idx="269">
                  <c:v>1850.6000000000001</c:v>
                </c:pt>
                <c:pt idx="270">
                  <c:v>796</c:v>
                </c:pt>
                <c:pt idx="271">
                  <c:v>1308.9000000000001</c:v>
                </c:pt>
                <c:pt idx="272">
                  <c:v>569.4</c:v>
                </c:pt>
                <c:pt idx="273">
                  <c:v>3416.1</c:v>
                </c:pt>
                <c:pt idx="274">
                  <c:v>439.54</c:v>
                </c:pt>
                <c:pt idx="275">
                  <c:v>1026.4000000000001</c:v>
                </c:pt>
                <c:pt idx="276">
                  <c:v>561</c:v>
                </c:pt>
                <c:pt idx="277">
                  <c:v>4394</c:v>
                </c:pt>
                <c:pt idx="278">
                  <c:v>984.8</c:v>
                </c:pt>
                <c:pt idx="279">
                  <c:v>552.29999999999995</c:v>
                </c:pt>
                <c:pt idx="280">
                  <c:v>7619.5</c:v>
                </c:pt>
                <c:pt idx="281">
                  <c:v>2084.36</c:v>
                </c:pt>
                <c:pt idx="282">
                  <c:v>986.2</c:v>
                </c:pt>
                <c:pt idx="283">
                  <c:v>732.81999999999994</c:v>
                </c:pt>
                <c:pt idx="284">
                  <c:v>1186.9000000000001</c:v>
                </c:pt>
                <c:pt idx="285">
                  <c:v>690.1</c:v>
                </c:pt>
                <c:pt idx="286">
                  <c:v>828.4</c:v>
                </c:pt>
                <c:pt idx="287">
                  <c:v>5287</c:v>
                </c:pt>
                <c:pt idx="288">
                  <c:v>1012.7</c:v>
                </c:pt>
                <c:pt idx="289">
                  <c:v>546.5</c:v>
                </c:pt>
                <c:pt idx="290">
                  <c:v>718</c:v>
                </c:pt>
                <c:pt idx="291">
                  <c:v>1573.9</c:v>
                </c:pt>
                <c:pt idx="292">
                  <c:v>579.81999999999994</c:v>
                </c:pt>
                <c:pt idx="293">
                  <c:v>7307.58</c:v>
                </c:pt>
                <c:pt idx="294">
                  <c:v>5518.22</c:v>
                </c:pt>
                <c:pt idx="295">
                  <c:v>203</c:v>
                </c:pt>
                <c:pt idx="296">
                  <c:v>333.5</c:v>
                </c:pt>
                <c:pt idx="297">
                  <c:v>1129.48</c:v>
                </c:pt>
                <c:pt idx="298">
                  <c:v>240.5</c:v>
                </c:pt>
                <c:pt idx="299">
                  <c:v>1684.5</c:v>
                </c:pt>
                <c:pt idx="300">
                  <c:v>959</c:v>
                </c:pt>
                <c:pt idx="301">
                  <c:v>1434.12</c:v>
                </c:pt>
                <c:pt idx="302">
                  <c:v>629.29999999999995</c:v>
                </c:pt>
                <c:pt idx="303">
                  <c:v>5235.6000000000004</c:v>
                </c:pt>
                <c:pt idx="304">
                  <c:v>898.22</c:v>
                </c:pt>
                <c:pt idx="305">
                  <c:v>1089.2</c:v>
                </c:pt>
                <c:pt idx="306">
                  <c:v>6409.12</c:v>
                </c:pt>
                <c:pt idx="307">
                  <c:v>3496.5</c:v>
                </c:pt>
                <c:pt idx="308">
                  <c:v>4869.7</c:v>
                </c:pt>
                <c:pt idx="309">
                  <c:v>3818.1000000000004</c:v>
                </c:pt>
                <c:pt idx="310">
                  <c:v>2158.1999999999998</c:v>
                </c:pt>
                <c:pt idx="311">
                  <c:v>3041.9</c:v>
                </c:pt>
                <c:pt idx="312">
                  <c:v>415.9</c:v>
                </c:pt>
                <c:pt idx="313">
                  <c:v>1848.92</c:v>
                </c:pt>
                <c:pt idx="314">
                  <c:v>3835.8</c:v>
                </c:pt>
                <c:pt idx="315">
                  <c:v>3430.6000000000004</c:v>
                </c:pt>
                <c:pt idx="316">
                  <c:v>1567.4</c:v>
                </c:pt>
                <c:pt idx="317">
                  <c:v>1595.1</c:v>
                </c:pt>
                <c:pt idx="318">
                  <c:v>3751.7</c:v>
                </c:pt>
                <c:pt idx="319">
                  <c:v>2050.2400000000002</c:v>
                </c:pt>
                <c:pt idx="320">
                  <c:v>1221</c:v>
                </c:pt>
                <c:pt idx="321">
                  <c:v>1378.2</c:v>
                </c:pt>
                <c:pt idx="322">
                  <c:v>1212.5999999999999</c:v>
                </c:pt>
                <c:pt idx="323">
                  <c:v>1603.5</c:v>
                </c:pt>
                <c:pt idx="324">
                  <c:v>2765.6000000000004</c:v>
                </c:pt>
                <c:pt idx="325">
                  <c:v>3090.54</c:v>
                </c:pt>
                <c:pt idx="326">
                  <c:v>2013.54</c:v>
                </c:pt>
                <c:pt idx="327">
                  <c:v>589.20000000000005</c:v>
                </c:pt>
                <c:pt idx="328">
                  <c:v>1478.92</c:v>
                </c:pt>
                <c:pt idx="329">
                  <c:v>1303.3</c:v>
                </c:pt>
                <c:pt idx="330">
                  <c:v>6711.12</c:v>
                </c:pt>
                <c:pt idx="331">
                  <c:v>2573.7600000000002</c:v>
                </c:pt>
                <c:pt idx="332">
                  <c:v>1487</c:v>
                </c:pt>
                <c:pt idx="333">
                  <c:v>884.1</c:v>
                </c:pt>
                <c:pt idx="334">
                  <c:v>3240.1</c:v>
                </c:pt>
                <c:pt idx="335">
                  <c:v>1859.2</c:v>
                </c:pt>
                <c:pt idx="336">
                  <c:v>993.2</c:v>
                </c:pt>
                <c:pt idx="337">
                  <c:v>4895.8999999999996</c:v>
                </c:pt>
                <c:pt idx="338">
                  <c:v>209.82</c:v>
                </c:pt>
                <c:pt idx="339">
                  <c:v>555.79999999999995</c:v>
                </c:pt>
                <c:pt idx="340">
                  <c:v>5820.2800000000007</c:v>
                </c:pt>
                <c:pt idx="341">
                  <c:v>5555.9800000000005</c:v>
                </c:pt>
                <c:pt idx="342">
                  <c:v>1868.82</c:v>
                </c:pt>
                <c:pt idx="343">
                  <c:v>2971.4</c:v>
                </c:pt>
                <c:pt idx="344">
                  <c:v>5464.5</c:v>
                </c:pt>
                <c:pt idx="345">
                  <c:v>1705.3</c:v>
                </c:pt>
                <c:pt idx="346">
                  <c:v>533.20000000000005</c:v>
                </c:pt>
                <c:pt idx="347">
                  <c:v>884.8</c:v>
                </c:pt>
                <c:pt idx="348">
                  <c:v>1701.7600000000002</c:v>
                </c:pt>
                <c:pt idx="349">
                  <c:v>4362.96</c:v>
                </c:pt>
                <c:pt idx="350">
                  <c:v>14341.619999999999</c:v>
                </c:pt>
                <c:pt idx="351">
                  <c:v>1985.1</c:v>
                </c:pt>
                <c:pt idx="352">
                  <c:v>4931.34</c:v>
                </c:pt>
                <c:pt idx="353">
                  <c:v>978.7</c:v>
                </c:pt>
                <c:pt idx="354">
                  <c:v>4524.5</c:v>
                </c:pt>
                <c:pt idx="355">
                  <c:v>714.44</c:v>
                </c:pt>
                <c:pt idx="356">
                  <c:v>995.2</c:v>
                </c:pt>
                <c:pt idx="357">
                  <c:v>1605.7</c:v>
                </c:pt>
                <c:pt idx="358">
                  <c:v>4936.4600000000009</c:v>
                </c:pt>
                <c:pt idx="359">
                  <c:v>7096.1</c:v>
                </c:pt>
                <c:pt idx="360">
                  <c:v>838.08</c:v>
                </c:pt>
                <c:pt idx="361">
                  <c:v>6128.84</c:v>
                </c:pt>
                <c:pt idx="362">
                  <c:v>505.6</c:v>
                </c:pt>
                <c:pt idx="363">
                  <c:v>6606.5</c:v>
                </c:pt>
                <c:pt idx="364">
                  <c:v>1130.7</c:v>
                </c:pt>
                <c:pt idx="365">
                  <c:v>6233.5</c:v>
                </c:pt>
                <c:pt idx="366">
                  <c:v>4909.1000000000004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83-7C49-83FF-B01D043E2E02}"/>
            </c:ext>
          </c:extLst>
        </c:ser>
        <c:ser>
          <c:idx val="21"/>
          <c:order val="2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Finished_Jobs!$Z$1:$Z$367</c:f>
              <c:numCache>
                <c:formatCode>General</c:formatCode>
                <c:ptCount val="367"/>
                <c:pt idx="0">
                  <c:v>0</c:v>
                </c:pt>
                <c:pt idx="1">
                  <c:v>-17.919999999999845</c:v>
                </c:pt>
                <c:pt idx="2">
                  <c:v>145.42000000000007</c:v>
                </c:pt>
                <c:pt idx="3">
                  <c:v>1121</c:v>
                </c:pt>
                <c:pt idx="4">
                  <c:v>2427.34</c:v>
                </c:pt>
                <c:pt idx="5">
                  <c:v>-2.5</c:v>
                </c:pt>
                <c:pt idx="6">
                  <c:v>1533.1</c:v>
                </c:pt>
                <c:pt idx="7">
                  <c:v>127.98000000000002</c:v>
                </c:pt>
                <c:pt idx="8">
                  <c:v>2213.5940000000001</c:v>
                </c:pt>
                <c:pt idx="9">
                  <c:v>1714.54</c:v>
                </c:pt>
                <c:pt idx="10">
                  <c:v>478.59999999999991</c:v>
                </c:pt>
                <c:pt idx="11">
                  <c:v>583.64000000000033</c:v>
                </c:pt>
                <c:pt idx="12">
                  <c:v>115.69999999999993</c:v>
                </c:pt>
                <c:pt idx="13">
                  <c:v>238.69999999999993</c:v>
                </c:pt>
                <c:pt idx="14">
                  <c:v>525.51999999999953</c:v>
                </c:pt>
                <c:pt idx="15">
                  <c:v>-16.200000000000045</c:v>
                </c:pt>
                <c:pt idx="16">
                  <c:v>226.5</c:v>
                </c:pt>
                <c:pt idx="17">
                  <c:v>808.59999999999991</c:v>
                </c:pt>
                <c:pt idx="18">
                  <c:v>1862.3999999999996</c:v>
                </c:pt>
                <c:pt idx="19">
                  <c:v>400.55999999999995</c:v>
                </c:pt>
                <c:pt idx="20">
                  <c:v>69.420000000000073</c:v>
                </c:pt>
                <c:pt idx="21">
                  <c:v>811.80000000000018</c:v>
                </c:pt>
                <c:pt idx="22">
                  <c:v>-32.740000000000236</c:v>
                </c:pt>
                <c:pt idx="23">
                  <c:v>533.70000000000005</c:v>
                </c:pt>
                <c:pt idx="24">
                  <c:v>-46.299999999999955</c:v>
                </c:pt>
                <c:pt idx="25">
                  <c:v>204</c:v>
                </c:pt>
                <c:pt idx="26">
                  <c:v>908.33999999999969</c:v>
                </c:pt>
                <c:pt idx="27">
                  <c:v>1442.0999999999995</c:v>
                </c:pt>
                <c:pt idx="28">
                  <c:v>4158.3999999999996</c:v>
                </c:pt>
                <c:pt idx="29">
                  <c:v>89.159999999999968</c:v>
                </c:pt>
                <c:pt idx="30">
                  <c:v>291.69999999999982</c:v>
                </c:pt>
                <c:pt idx="31">
                  <c:v>646.29</c:v>
                </c:pt>
                <c:pt idx="32">
                  <c:v>80.240000000000009</c:v>
                </c:pt>
                <c:pt idx="33">
                  <c:v>514.28</c:v>
                </c:pt>
                <c:pt idx="34">
                  <c:v>32.480000000000018</c:v>
                </c:pt>
                <c:pt idx="35">
                  <c:v>54.740000000000009</c:v>
                </c:pt>
                <c:pt idx="36">
                  <c:v>75.659999999999968</c:v>
                </c:pt>
                <c:pt idx="37">
                  <c:v>2447</c:v>
                </c:pt>
                <c:pt idx="38">
                  <c:v>-60.5</c:v>
                </c:pt>
                <c:pt idx="39">
                  <c:v>522</c:v>
                </c:pt>
                <c:pt idx="40">
                  <c:v>58.159999999999968</c:v>
                </c:pt>
                <c:pt idx="41">
                  <c:v>-180.10000000000002</c:v>
                </c:pt>
                <c:pt idx="42">
                  <c:v>1169.3999999999996</c:v>
                </c:pt>
                <c:pt idx="43">
                  <c:v>914.81999999999994</c:v>
                </c:pt>
                <c:pt idx="44">
                  <c:v>690.6</c:v>
                </c:pt>
                <c:pt idx="45">
                  <c:v>62.072000000000003</c:v>
                </c:pt>
                <c:pt idx="46">
                  <c:v>139.39999999999998</c:v>
                </c:pt>
                <c:pt idx="47">
                  <c:v>159.98000000000002</c:v>
                </c:pt>
                <c:pt idx="48">
                  <c:v>550.0920000000001</c:v>
                </c:pt>
                <c:pt idx="49">
                  <c:v>109.68</c:v>
                </c:pt>
                <c:pt idx="50">
                  <c:v>361.90000000000009</c:v>
                </c:pt>
                <c:pt idx="51">
                  <c:v>684.11999999999989</c:v>
                </c:pt>
                <c:pt idx="52">
                  <c:v>1086.2199999999998</c:v>
                </c:pt>
                <c:pt idx="53">
                  <c:v>234.60000000000002</c:v>
                </c:pt>
                <c:pt idx="54">
                  <c:v>60.399999999999977</c:v>
                </c:pt>
                <c:pt idx="55">
                  <c:v>1018.5</c:v>
                </c:pt>
                <c:pt idx="56">
                  <c:v>-68.5</c:v>
                </c:pt>
                <c:pt idx="57">
                  <c:v>1216.5959999999995</c:v>
                </c:pt>
                <c:pt idx="58">
                  <c:v>1461.92</c:v>
                </c:pt>
                <c:pt idx="59">
                  <c:v>191.74</c:v>
                </c:pt>
                <c:pt idx="60">
                  <c:v>353.26</c:v>
                </c:pt>
                <c:pt idx="61">
                  <c:v>616.90000000000009</c:v>
                </c:pt>
                <c:pt idx="62">
                  <c:v>1676</c:v>
                </c:pt>
                <c:pt idx="63">
                  <c:v>1728.8000000000002</c:v>
                </c:pt>
                <c:pt idx="64">
                  <c:v>252.98000000000002</c:v>
                </c:pt>
                <c:pt idx="65">
                  <c:v>806.21599999999989</c:v>
                </c:pt>
                <c:pt idx="66">
                  <c:v>294.12</c:v>
                </c:pt>
                <c:pt idx="67">
                  <c:v>54.299999999999955</c:v>
                </c:pt>
                <c:pt idx="68">
                  <c:v>661</c:v>
                </c:pt>
                <c:pt idx="69">
                  <c:v>32.200000000000045</c:v>
                </c:pt>
                <c:pt idx="70">
                  <c:v>1512.5</c:v>
                </c:pt>
                <c:pt idx="71">
                  <c:v>214.33999999999992</c:v>
                </c:pt>
                <c:pt idx="72">
                  <c:v>190.67999999999995</c:v>
                </c:pt>
                <c:pt idx="73">
                  <c:v>546.33999999999969</c:v>
                </c:pt>
                <c:pt idx="74">
                  <c:v>485.79999999999995</c:v>
                </c:pt>
                <c:pt idx="75">
                  <c:v>275.61999999999989</c:v>
                </c:pt>
                <c:pt idx="76">
                  <c:v>1047.3</c:v>
                </c:pt>
                <c:pt idx="77">
                  <c:v>40.5</c:v>
                </c:pt>
                <c:pt idx="78">
                  <c:v>391.29999999999995</c:v>
                </c:pt>
                <c:pt idx="79">
                  <c:v>31.799999999999955</c:v>
                </c:pt>
                <c:pt idx="80">
                  <c:v>14.319999999999993</c:v>
                </c:pt>
                <c:pt idx="81">
                  <c:v>323</c:v>
                </c:pt>
                <c:pt idx="82">
                  <c:v>634.15999999999985</c:v>
                </c:pt>
                <c:pt idx="83">
                  <c:v>1146.9000000000001</c:v>
                </c:pt>
                <c:pt idx="84">
                  <c:v>441.20000000000005</c:v>
                </c:pt>
                <c:pt idx="85">
                  <c:v>37.5</c:v>
                </c:pt>
                <c:pt idx="86">
                  <c:v>781.11999999999989</c:v>
                </c:pt>
                <c:pt idx="87">
                  <c:v>657.96</c:v>
                </c:pt>
                <c:pt idx="88">
                  <c:v>-2.1599999999999682</c:v>
                </c:pt>
                <c:pt idx="89">
                  <c:v>2687.3</c:v>
                </c:pt>
                <c:pt idx="90">
                  <c:v>1138.7999999999997</c:v>
                </c:pt>
                <c:pt idx="91">
                  <c:v>-51</c:v>
                </c:pt>
                <c:pt idx="92">
                  <c:v>275.83999999999992</c:v>
                </c:pt>
                <c:pt idx="93">
                  <c:v>-106.19999999999999</c:v>
                </c:pt>
                <c:pt idx="94">
                  <c:v>1171.06</c:v>
                </c:pt>
                <c:pt idx="95">
                  <c:v>243.19999999999982</c:v>
                </c:pt>
                <c:pt idx="96">
                  <c:v>-431.10000000000036</c:v>
                </c:pt>
                <c:pt idx="97">
                  <c:v>-197.80000000000007</c:v>
                </c:pt>
                <c:pt idx="98">
                  <c:v>590.5</c:v>
                </c:pt>
                <c:pt idx="99">
                  <c:v>167.90000000000009</c:v>
                </c:pt>
                <c:pt idx="100">
                  <c:v>320.42000000000007</c:v>
                </c:pt>
                <c:pt idx="101">
                  <c:v>169</c:v>
                </c:pt>
                <c:pt idx="102">
                  <c:v>187.81999999999994</c:v>
                </c:pt>
                <c:pt idx="103">
                  <c:v>327.70000000000005</c:v>
                </c:pt>
                <c:pt idx="104">
                  <c:v>970.88000000000011</c:v>
                </c:pt>
                <c:pt idx="105">
                  <c:v>892.69999999999982</c:v>
                </c:pt>
                <c:pt idx="106">
                  <c:v>671.15999999999985</c:v>
                </c:pt>
                <c:pt idx="107">
                  <c:v>590</c:v>
                </c:pt>
                <c:pt idx="108">
                  <c:v>527.11999999999989</c:v>
                </c:pt>
                <c:pt idx="109">
                  <c:v>83</c:v>
                </c:pt>
                <c:pt idx="110">
                  <c:v>102.79999999999995</c:v>
                </c:pt>
                <c:pt idx="111">
                  <c:v>288.3599999999999</c:v>
                </c:pt>
                <c:pt idx="112">
                  <c:v>22.5</c:v>
                </c:pt>
                <c:pt idx="113">
                  <c:v>82.059999999999945</c:v>
                </c:pt>
                <c:pt idx="114">
                  <c:v>77.600000000000023</c:v>
                </c:pt>
                <c:pt idx="115">
                  <c:v>59.399999999999977</c:v>
                </c:pt>
                <c:pt idx="116">
                  <c:v>3538.3999999999996</c:v>
                </c:pt>
                <c:pt idx="117">
                  <c:v>308.59999999999991</c:v>
                </c:pt>
                <c:pt idx="118">
                  <c:v>590.90000000000009</c:v>
                </c:pt>
                <c:pt idx="119">
                  <c:v>1862</c:v>
                </c:pt>
                <c:pt idx="120">
                  <c:v>1353.54</c:v>
                </c:pt>
                <c:pt idx="121">
                  <c:v>-649.59999999999991</c:v>
                </c:pt>
                <c:pt idx="122">
                  <c:v>577.55999999999995</c:v>
                </c:pt>
                <c:pt idx="123">
                  <c:v>1368.8199999999997</c:v>
                </c:pt>
                <c:pt idx="124">
                  <c:v>263.20000000000005</c:v>
                </c:pt>
                <c:pt idx="125">
                  <c:v>143</c:v>
                </c:pt>
                <c:pt idx="126">
                  <c:v>234.39999999999998</c:v>
                </c:pt>
                <c:pt idx="127">
                  <c:v>168.79999999999995</c:v>
                </c:pt>
                <c:pt idx="128">
                  <c:v>746.90000000000009</c:v>
                </c:pt>
                <c:pt idx="129">
                  <c:v>751.94</c:v>
                </c:pt>
                <c:pt idx="130">
                  <c:v>68.619999999999891</c:v>
                </c:pt>
                <c:pt idx="131">
                  <c:v>18.699999999999989</c:v>
                </c:pt>
                <c:pt idx="132">
                  <c:v>643.79999999999995</c:v>
                </c:pt>
                <c:pt idx="133">
                  <c:v>83.5</c:v>
                </c:pt>
                <c:pt idx="134">
                  <c:v>3640.3</c:v>
                </c:pt>
                <c:pt idx="135">
                  <c:v>558.59999999999991</c:v>
                </c:pt>
                <c:pt idx="136">
                  <c:v>69.579999999999927</c:v>
                </c:pt>
                <c:pt idx="137">
                  <c:v>-166.10000000000002</c:v>
                </c:pt>
                <c:pt idx="138">
                  <c:v>973.38000000000011</c:v>
                </c:pt>
                <c:pt idx="139">
                  <c:v>352</c:v>
                </c:pt>
                <c:pt idx="140">
                  <c:v>-36.100000000000023</c:v>
                </c:pt>
                <c:pt idx="141">
                  <c:v>443</c:v>
                </c:pt>
                <c:pt idx="142">
                  <c:v>467</c:v>
                </c:pt>
                <c:pt idx="143">
                  <c:v>206.20000000000005</c:v>
                </c:pt>
                <c:pt idx="144">
                  <c:v>130</c:v>
                </c:pt>
                <c:pt idx="145">
                  <c:v>765</c:v>
                </c:pt>
                <c:pt idx="146">
                  <c:v>761.40000000000009</c:v>
                </c:pt>
                <c:pt idx="147">
                  <c:v>570.79999999999995</c:v>
                </c:pt>
                <c:pt idx="148">
                  <c:v>458.65999999999985</c:v>
                </c:pt>
                <c:pt idx="149">
                  <c:v>1553.6999999999998</c:v>
                </c:pt>
                <c:pt idx="150">
                  <c:v>435.20000000000005</c:v>
                </c:pt>
                <c:pt idx="151">
                  <c:v>2081.9399999999996</c:v>
                </c:pt>
                <c:pt idx="152">
                  <c:v>752</c:v>
                </c:pt>
                <c:pt idx="153">
                  <c:v>164.8</c:v>
                </c:pt>
                <c:pt idx="154">
                  <c:v>-113.34000000000003</c:v>
                </c:pt>
                <c:pt idx="155">
                  <c:v>193.79999999999995</c:v>
                </c:pt>
                <c:pt idx="156">
                  <c:v>1914.4</c:v>
                </c:pt>
                <c:pt idx="157">
                  <c:v>56.099999999999994</c:v>
                </c:pt>
                <c:pt idx="158">
                  <c:v>873.51999999999953</c:v>
                </c:pt>
                <c:pt idx="159">
                  <c:v>770.09999999999991</c:v>
                </c:pt>
                <c:pt idx="160">
                  <c:v>262.24</c:v>
                </c:pt>
                <c:pt idx="161">
                  <c:v>2407</c:v>
                </c:pt>
                <c:pt idx="162">
                  <c:v>572.90000000000009</c:v>
                </c:pt>
                <c:pt idx="163">
                  <c:v>156</c:v>
                </c:pt>
                <c:pt idx="164">
                  <c:v>1611.9799999999996</c:v>
                </c:pt>
                <c:pt idx="165">
                  <c:v>48.800000000000011</c:v>
                </c:pt>
                <c:pt idx="166">
                  <c:v>-33.200000000000045</c:v>
                </c:pt>
                <c:pt idx="167">
                  <c:v>157.49999999999989</c:v>
                </c:pt>
                <c:pt idx="168">
                  <c:v>-41</c:v>
                </c:pt>
                <c:pt idx="169">
                  <c:v>814.59999999999991</c:v>
                </c:pt>
                <c:pt idx="170">
                  <c:v>803.59999999999991</c:v>
                </c:pt>
                <c:pt idx="171">
                  <c:v>164.05999999999995</c:v>
                </c:pt>
                <c:pt idx="172">
                  <c:v>77.420000000000016</c:v>
                </c:pt>
                <c:pt idx="173">
                  <c:v>125.72000000000003</c:v>
                </c:pt>
                <c:pt idx="174">
                  <c:v>1617.3</c:v>
                </c:pt>
                <c:pt idx="175">
                  <c:v>320.22000000000003</c:v>
                </c:pt>
                <c:pt idx="176">
                  <c:v>77.600000000000023</c:v>
                </c:pt>
                <c:pt idx="177">
                  <c:v>406.79999999999995</c:v>
                </c:pt>
                <c:pt idx="178">
                  <c:v>1730.88</c:v>
                </c:pt>
                <c:pt idx="179">
                  <c:v>806.04</c:v>
                </c:pt>
                <c:pt idx="180">
                  <c:v>414.88000000000011</c:v>
                </c:pt>
                <c:pt idx="181">
                  <c:v>442.71999999999991</c:v>
                </c:pt>
                <c:pt idx="182">
                  <c:v>-399.88000000000011</c:v>
                </c:pt>
                <c:pt idx="183">
                  <c:v>593.54</c:v>
                </c:pt>
                <c:pt idx="184">
                  <c:v>104.03999999999996</c:v>
                </c:pt>
                <c:pt idx="185">
                  <c:v>-587.57999999999993</c:v>
                </c:pt>
                <c:pt idx="186">
                  <c:v>727.28</c:v>
                </c:pt>
                <c:pt idx="187">
                  <c:v>1194.1999999999998</c:v>
                </c:pt>
                <c:pt idx="188">
                  <c:v>71.5</c:v>
                </c:pt>
                <c:pt idx="189">
                  <c:v>169.20000000000005</c:v>
                </c:pt>
                <c:pt idx="190">
                  <c:v>61.300000000000011</c:v>
                </c:pt>
                <c:pt idx="191">
                  <c:v>13503.9</c:v>
                </c:pt>
                <c:pt idx="192">
                  <c:v>1855.8000000000002</c:v>
                </c:pt>
                <c:pt idx="193">
                  <c:v>2653.6000000000004</c:v>
                </c:pt>
                <c:pt idx="194">
                  <c:v>325.69999999999982</c:v>
                </c:pt>
                <c:pt idx="195">
                  <c:v>190.80000000000018</c:v>
                </c:pt>
                <c:pt idx="196">
                  <c:v>2569.8799999999992</c:v>
                </c:pt>
                <c:pt idx="197">
                  <c:v>153.80000000000001</c:v>
                </c:pt>
                <c:pt idx="198">
                  <c:v>-528.72</c:v>
                </c:pt>
                <c:pt idx="199">
                  <c:v>-97.360000000000127</c:v>
                </c:pt>
                <c:pt idx="200">
                  <c:v>-224.39999999999986</c:v>
                </c:pt>
                <c:pt idx="201">
                  <c:v>998.60000000000036</c:v>
                </c:pt>
                <c:pt idx="202">
                  <c:v>828</c:v>
                </c:pt>
                <c:pt idx="203">
                  <c:v>3632.1000000000004</c:v>
                </c:pt>
                <c:pt idx="204">
                  <c:v>20.5</c:v>
                </c:pt>
                <c:pt idx="205">
                  <c:v>-37.800000000000011</c:v>
                </c:pt>
                <c:pt idx="206">
                  <c:v>2973.3</c:v>
                </c:pt>
                <c:pt idx="207">
                  <c:v>2066.7999999999993</c:v>
                </c:pt>
                <c:pt idx="208">
                  <c:v>223.32</c:v>
                </c:pt>
                <c:pt idx="209">
                  <c:v>111.64000000000001</c:v>
                </c:pt>
                <c:pt idx="210">
                  <c:v>276.81999999999994</c:v>
                </c:pt>
                <c:pt idx="211">
                  <c:v>67</c:v>
                </c:pt>
                <c:pt idx="212">
                  <c:v>1941.8</c:v>
                </c:pt>
                <c:pt idx="213">
                  <c:v>178.20000000000005</c:v>
                </c:pt>
                <c:pt idx="214">
                  <c:v>3242.1000000000004</c:v>
                </c:pt>
                <c:pt idx="215">
                  <c:v>447.23999999999978</c:v>
                </c:pt>
                <c:pt idx="216">
                  <c:v>852.1</c:v>
                </c:pt>
                <c:pt idx="217">
                  <c:v>2449.1999999999998</c:v>
                </c:pt>
                <c:pt idx="218">
                  <c:v>203.20000000000005</c:v>
                </c:pt>
                <c:pt idx="219">
                  <c:v>1336.9</c:v>
                </c:pt>
                <c:pt idx="220">
                  <c:v>-1342.7000000000007</c:v>
                </c:pt>
                <c:pt idx="221">
                  <c:v>528.36</c:v>
                </c:pt>
                <c:pt idx="222">
                  <c:v>2565.4</c:v>
                </c:pt>
                <c:pt idx="223">
                  <c:v>668.38</c:v>
                </c:pt>
                <c:pt idx="224">
                  <c:v>1911.8</c:v>
                </c:pt>
                <c:pt idx="225">
                  <c:v>-10</c:v>
                </c:pt>
                <c:pt idx="226">
                  <c:v>4501.24</c:v>
                </c:pt>
                <c:pt idx="227">
                  <c:v>3832.8</c:v>
                </c:pt>
                <c:pt idx="228">
                  <c:v>122</c:v>
                </c:pt>
                <c:pt idx="229">
                  <c:v>-104</c:v>
                </c:pt>
                <c:pt idx="230">
                  <c:v>490.02</c:v>
                </c:pt>
                <c:pt idx="231">
                  <c:v>761.1</c:v>
                </c:pt>
                <c:pt idx="232">
                  <c:v>129.90000000000009</c:v>
                </c:pt>
                <c:pt idx="233">
                  <c:v>1753.1</c:v>
                </c:pt>
                <c:pt idx="234">
                  <c:v>2335</c:v>
                </c:pt>
                <c:pt idx="235">
                  <c:v>2651.4</c:v>
                </c:pt>
                <c:pt idx="236">
                  <c:v>141</c:v>
                </c:pt>
                <c:pt idx="237">
                  <c:v>819.8</c:v>
                </c:pt>
                <c:pt idx="238">
                  <c:v>1347.92</c:v>
                </c:pt>
                <c:pt idx="239">
                  <c:v>584.46</c:v>
                </c:pt>
                <c:pt idx="240">
                  <c:v>-123.48000000000002</c:v>
                </c:pt>
                <c:pt idx="241">
                  <c:v>113.07999999999993</c:v>
                </c:pt>
                <c:pt idx="242">
                  <c:v>-382.70000000000005</c:v>
                </c:pt>
                <c:pt idx="243">
                  <c:v>209.19999999999982</c:v>
                </c:pt>
                <c:pt idx="244">
                  <c:v>233.82000000000016</c:v>
                </c:pt>
                <c:pt idx="245">
                  <c:v>1094</c:v>
                </c:pt>
                <c:pt idx="246">
                  <c:v>3307.2999999999993</c:v>
                </c:pt>
                <c:pt idx="247">
                  <c:v>185.5</c:v>
                </c:pt>
                <c:pt idx="248">
                  <c:v>831.40000000000009</c:v>
                </c:pt>
                <c:pt idx="249">
                  <c:v>890.09999999999991</c:v>
                </c:pt>
                <c:pt idx="250">
                  <c:v>1921.62</c:v>
                </c:pt>
                <c:pt idx="251">
                  <c:v>-148</c:v>
                </c:pt>
                <c:pt idx="252">
                  <c:v>796.5</c:v>
                </c:pt>
                <c:pt idx="253">
                  <c:v>39.079999999999927</c:v>
                </c:pt>
                <c:pt idx="254">
                  <c:v>1096.0999999999999</c:v>
                </c:pt>
                <c:pt idx="255">
                  <c:v>865.89999999999964</c:v>
                </c:pt>
                <c:pt idx="256">
                  <c:v>663.13999999999987</c:v>
                </c:pt>
                <c:pt idx="257">
                  <c:v>-0.69999999999998863</c:v>
                </c:pt>
                <c:pt idx="258">
                  <c:v>337.59999999999991</c:v>
                </c:pt>
                <c:pt idx="259">
                  <c:v>97.199999999999989</c:v>
                </c:pt>
                <c:pt idx="260">
                  <c:v>320.39999999999998</c:v>
                </c:pt>
                <c:pt idx="261">
                  <c:v>1208.8</c:v>
                </c:pt>
                <c:pt idx="262">
                  <c:v>2453.3000000000002</c:v>
                </c:pt>
                <c:pt idx="263">
                  <c:v>1279.8999999999999</c:v>
                </c:pt>
                <c:pt idx="264">
                  <c:v>233.11999999999989</c:v>
                </c:pt>
                <c:pt idx="265">
                  <c:v>355.93999999999983</c:v>
                </c:pt>
                <c:pt idx="266">
                  <c:v>-1.0999999999999091</c:v>
                </c:pt>
                <c:pt idx="267">
                  <c:v>503.59999999999991</c:v>
                </c:pt>
                <c:pt idx="268">
                  <c:v>684.6</c:v>
                </c:pt>
                <c:pt idx="269">
                  <c:v>219.39999999999986</c:v>
                </c:pt>
                <c:pt idx="270">
                  <c:v>1504</c:v>
                </c:pt>
                <c:pt idx="271">
                  <c:v>156.09999999999991</c:v>
                </c:pt>
                <c:pt idx="272">
                  <c:v>130.60000000000002</c:v>
                </c:pt>
                <c:pt idx="273">
                  <c:v>783.90000000000009</c:v>
                </c:pt>
                <c:pt idx="274">
                  <c:v>-35.54000000000002</c:v>
                </c:pt>
                <c:pt idx="275">
                  <c:v>1123.5999999999999</c:v>
                </c:pt>
                <c:pt idx="276">
                  <c:v>-161</c:v>
                </c:pt>
                <c:pt idx="277">
                  <c:v>1031</c:v>
                </c:pt>
                <c:pt idx="278">
                  <c:v>765.2</c:v>
                </c:pt>
                <c:pt idx="279">
                  <c:v>197.70000000000005</c:v>
                </c:pt>
                <c:pt idx="280">
                  <c:v>-1309.5</c:v>
                </c:pt>
                <c:pt idx="281">
                  <c:v>206.63999999999987</c:v>
                </c:pt>
                <c:pt idx="282">
                  <c:v>163.79999999999995</c:v>
                </c:pt>
                <c:pt idx="283">
                  <c:v>549.18000000000006</c:v>
                </c:pt>
                <c:pt idx="284">
                  <c:v>113.09999999999991</c:v>
                </c:pt>
                <c:pt idx="285">
                  <c:v>349.9</c:v>
                </c:pt>
                <c:pt idx="286">
                  <c:v>-68.399999999999977</c:v>
                </c:pt>
                <c:pt idx="287">
                  <c:v>2513</c:v>
                </c:pt>
                <c:pt idx="288">
                  <c:v>-162.70000000000005</c:v>
                </c:pt>
                <c:pt idx="289">
                  <c:v>278.5</c:v>
                </c:pt>
                <c:pt idx="290">
                  <c:v>667</c:v>
                </c:pt>
                <c:pt idx="291">
                  <c:v>1076.0999999999999</c:v>
                </c:pt>
                <c:pt idx="292">
                  <c:v>252.18000000000006</c:v>
                </c:pt>
                <c:pt idx="293">
                  <c:v>2885.42</c:v>
                </c:pt>
                <c:pt idx="294">
                  <c:v>4478.78</c:v>
                </c:pt>
                <c:pt idx="295">
                  <c:v>147</c:v>
                </c:pt>
                <c:pt idx="296">
                  <c:v>-33.5</c:v>
                </c:pt>
                <c:pt idx="297">
                  <c:v>863.52</c:v>
                </c:pt>
                <c:pt idx="298">
                  <c:v>109.5</c:v>
                </c:pt>
                <c:pt idx="299">
                  <c:v>895.5</c:v>
                </c:pt>
                <c:pt idx="300">
                  <c:v>116</c:v>
                </c:pt>
                <c:pt idx="301">
                  <c:v>322.88000000000011</c:v>
                </c:pt>
                <c:pt idx="302">
                  <c:v>170.70000000000005</c:v>
                </c:pt>
                <c:pt idx="303">
                  <c:v>2564.3999999999996</c:v>
                </c:pt>
                <c:pt idx="304">
                  <c:v>268.77999999999997</c:v>
                </c:pt>
                <c:pt idx="305">
                  <c:v>185.79999999999995</c:v>
                </c:pt>
                <c:pt idx="306">
                  <c:v>657.88000000000011</c:v>
                </c:pt>
                <c:pt idx="307">
                  <c:v>673.5</c:v>
                </c:pt>
                <c:pt idx="308">
                  <c:v>800.30000000000018</c:v>
                </c:pt>
                <c:pt idx="309">
                  <c:v>951.89999999999964</c:v>
                </c:pt>
                <c:pt idx="310">
                  <c:v>711.80000000000018</c:v>
                </c:pt>
                <c:pt idx="311">
                  <c:v>858.09999999999991</c:v>
                </c:pt>
                <c:pt idx="312">
                  <c:v>384.1</c:v>
                </c:pt>
                <c:pt idx="313">
                  <c:v>453.07999999999993</c:v>
                </c:pt>
                <c:pt idx="314">
                  <c:v>1899.1999999999998</c:v>
                </c:pt>
                <c:pt idx="315">
                  <c:v>1999.3999999999996</c:v>
                </c:pt>
                <c:pt idx="316">
                  <c:v>727.59999999999991</c:v>
                </c:pt>
                <c:pt idx="317">
                  <c:v>504.90000000000009</c:v>
                </c:pt>
                <c:pt idx="318">
                  <c:v>148.30000000000018</c:v>
                </c:pt>
                <c:pt idx="319">
                  <c:v>1008.7599999999998</c:v>
                </c:pt>
                <c:pt idx="320">
                  <c:v>-221</c:v>
                </c:pt>
                <c:pt idx="321">
                  <c:v>-28.200000000000045</c:v>
                </c:pt>
                <c:pt idx="322">
                  <c:v>-112.59999999999991</c:v>
                </c:pt>
                <c:pt idx="323">
                  <c:v>746.5</c:v>
                </c:pt>
                <c:pt idx="324">
                  <c:v>829.39999999999964</c:v>
                </c:pt>
                <c:pt idx="325">
                  <c:v>623.46</c:v>
                </c:pt>
                <c:pt idx="326">
                  <c:v>895.46</c:v>
                </c:pt>
                <c:pt idx="327">
                  <c:v>-264.20000000000005</c:v>
                </c:pt>
                <c:pt idx="328">
                  <c:v>318.07999999999993</c:v>
                </c:pt>
                <c:pt idx="329">
                  <c:v>401.70000000000005</c:v>
                </c:pt>
                <c:pt idx="330">
                  <c:v>835.88000000000011</c:v>
                </c:pt>
                <c:pt idx="331">
                  <c:v>1292.2399999999998</c:v>
                </c:pt>
                <c:pt idx="332">
                  <c:v>963</c:v>
                </c:pt>
                <c:pt idx="333">
                  <c:v>515.9</c:v>
                </c:pt>
                <c:pt idx="334">
                  <c:v>709.90000000000009</c:v>
                </c:pt>
                <c:pt idx="335">
                  <c:v>1440.8</c:v>
                </c:pt>
                <c:pt idx="336">
                  <c:v>556.79999999999995</c:v>
                </c:pt>
                <c:pt idx="337">
                  <c:v>1129.1000000000004</c:v>
                </c:pt>
                <c:pt idx="338">
                  <c:v>22.180000000000007</c:v>
                </c:pt>
                <c:pt idx="339">
                  <c:v>444.20000000000005</c:v>
                </c:pt>
                <c:pt idx="340">
                  <c:v>1517.7199999999993</c:v>
                </c:pt>
                <c:pt idx="341">
                  <c:v>1552.0199999999995</c:v>
                </c:pt>
                <c:pt idx="342">
                  <c:v>978.18000000000006</c:v>
                </c:pt>
                <c:pt idx="343">
                  <c:v>878.59999999999991</c:v>
                </c:pt>
                <c:pt idx="344">
                  <c:v>2335.5</c:v>
                </c:pt>
                <c:pt idx="345">
                  <c:v>994.7</c:v>
                </c:pt>
                <c:pt idx="346">
                  <c:v>186.79999999999995</c:v>
                </c:pt>
                <c:pt idx="347">
                  <c:v>65.200000000000045</c:v>
                </c:pt>
                <c:pt idx="348">
                  <c:v>-240.76000000000022</c:v>
                </c:pt>
                <c:pt idx="349">
                  <c:v>1978.04</c:v>
                </c:pt>
                <c:pt idx="350">
                  <c:v>8020.380000000001</c:v>
                </c:pt>
                <c:pt idx="351">
                  <c:v>1614.9</c:v>
                </c:pt>
                <c:pt idx="352">
                  <c:v>1082.6599999999999</c:v>
                </c:pt>
                <c:pt idx="353">
                  <c:v>-78.700000000000045</c:v>
                </c:pt>
                <c:pt idx="354">
                  <c:v>1025.5</c:v>
                </c:pt>
                <c:pt idx="355">
                  <c:v>404.55999999999995</c:v>
                </c:pt>
                <c:pt idx="356">
                  <c:v>154.79999999999995</c:v>
                </c:pt>
                <c:pt idx="357">
                  <c:v>1844.3</c:v>
                </c:pt>
                <c:pt idx="358">
                  <c:v>1349.5399999999991</c:v>
                </c:pt>
                <c:pt idx="359">
                  <c:v>908.89999999999964</c:v>
                </c:pt>
                <c:pt idx="360">
                  <c:v>594.91999999999996</c:v>
                </c:pt>
                <c:pt idx="361">
                  <c:v>755.15999999999985</c:v>
                </c:pt>
                <c:pt idx="362">
                  <c:v>-120.60000000000002</c:v>
                </c:pt>
                <c:pt idx="363">
                  <c:v>1593.5</c:v>
                </c:pt>
                <c:pt idx="364">
                  <c:v>1299.3</c:v>
                </c:pt>
                <c:pt idx="365">
                  <c:v>1446.5</c:v>
                </c:pt>
                <c:pt idx="366">
                  <c:v>-2709.1000000000004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83-7C49-83FF-B01D043E2E0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Finished_Jobs!$AA$1:$AA$367</c:f>
              <c:numCache>
                <c:formatCode>0%</c:formatCode>
                <c:ptCount val="367"/>
                <c:pt idx="0">
                  <c:v>0</c:v>
                </c:pt>
                <c:pt idx="1">
                  <c:v>-9.9169894853347231E-3</c:v>
                </c:pt>
                <c:pt idx="2">
                  <c:v>4.3241153731787114E-2</c:v>
                </c:pt>
                <c:pt idx="3">
                  <c:v>0.38655172413793104</c:v>
                </c:pt>
                <c:pt idx="4">
                  <c:v>0.34820542246449576</c:v>
                </c:pt>
                <c:pt idx="5">
                  <c:v>-6.2500000000000003E-3</c:v>
                </c:pt>
                <c:pt idx="6">
                  <c:v>0.31675619834710744</c:v>
                </c:pt>
                <c:pt idx="7">
                  <c:v>0.14347533632286996</c:v>
                </c:pt>
                <c:pt idx="8">
                  <c:v>0.35343424182912614</c:v>
                </c:pt>
                <c:pt idx="9">
                  <c:v>0.22616277535945126</c:v>
                </c:pt>
                <c:pt idx="10">
                  <c:v>0.33236111111111105</c:v>
                </c:pt>
                <c:pt idx="11">
                  <c:v>0.18670505438259768</c:v>
                </c:pt>
                <c:pt idx="12">
                  <c:v>0.11927835051546384</c:v>
                </c:pt>
                <c:pt idx="13">
                  <c:v>0.34345323741007183</c:v>
                </c:pt>
                <c:pt idx="14">
                  <c:v>9.0794747753973656E-2</c:v>
                </c:pt>
                <c:pt idx="15">
                  <c:v>-2.160000000000006E-2</c:v>
                </c:pt>
                <c:pt idx="16">
                  <c:v>0.3624</c:v>
                </c:pt>
                <c:pt idx="17">
                  <c:v>0.25268749999999995</c:v>
                </c:pt>
                <c:pt idx="18">
                  <c:v>0.23876923076923073</c:v>
                </c:pt>
                <c:pt idx="19">
                  <c:v>0.12946347769877181</c:v>
                </c:pt>
                <c:pt idx="20">
                  <c:v>3.9488054607508573E-2</c:v>
                </c:pt>
                <c:pt idx="21">
                  <c:v>0.20295000000000005</c:v>
                </c:pt>
                <c:pt idx="22">
                  <c:v>-1.6296665007466519E-2</c:v>
                </c:pt>
                <c:pt idx="23">
                  <c:v>0.23511013215859033</c:v>
                </c:pt>
                <c:pt idx="24">
                  <c:v>-7.3492063492063414E-2</c:v>
                </c:pt>
                <c:pt idx="25">
                  <c:v>0.21473684210526317</c:v>
                </c:pt>
                <c:pt idx="26">
                  <c:v>0.18328087167070212</c:v>
                </c:pt>
                <c:pt idx="27">
                  <c:v>0.35519704433497523</c:v>
                </c:pt>
                <c:pt idx="28">
                  <c:v>0.37012906097018244</c:v>
                </c:pt>
                <c:pt idx="29">
                  <c:v>0.10379511059371359</c:v>
                </c:pt>
                <c:pt idx="30">
                  <c:v>0.11394531249999992</c:v>
                </c:pt>
                <c:pt idx="31">
                  <c:v>0.27996101364522413</c:v>
                </c:pt>
                <c:pt idx="32">
                  <c:v>5.5299793246037225E-2</c:v>
                </c:pt>
                <c:pt idx="33">
                  <c:v>0.23197113216057735</c:v>
                </c:pt>
                <c:pt idx="34">
                  <c:v>7.6065573770491848E-2</c:v>
                </c:pt>
                <c:pt idx="35">
                  <c:v>7.6452513966480465E-2</c:v>
                </c:pt>
                <c:pt idx="36">
                  <c:v>9.90314136125654E-2</c:v>
                </c:pt>
                <c:pt idx="37">
                  <c:v>0.17861313868613138</c:v>
                </c:pt>
                <c:pt idx="38">
                  <c:v>-2.4444444444444446E-2</c:v>
                </c:pt>
                <c:pt idx="39">
                  <c:v>0.34799999999999998</c:v>
                </c:pt>
                <c:pt idx="40">
                  <c:v>9.1735015772870618E-2</c:v>
                </c:pt>
                <c:pt idx="41">
                  <c:v>-0.57174603174603178</c:v>
                </c:pt>
                <c:pt idx="42">
                  <c:v>0.29345043914680041</c:v>
                </c:pt>
                <c:pt idx="43">
                  <c:v>0.32754027926960255</c:v>
                </c:pt>
                <c:pt idx="44">
                  <c:v>0.41854545454545455</c:v>
                </c:pt>
                <c:pt idx="45">
                  <c:v>7.7319382162431491E-2</c:v>
                </c:pt>
                <c:pt idx="46">
                  <c:v>0.22852459016393439</c:v>
                </c:pt>
                <c:pt idx="47">
                  <c:v>0.12382352941176472</c:v>
                </c:pt>
                <c:pt idx="48">
                  <c:v>0.22537364798426748</c:v>
                </c:pt>
                <c:pt idx="49">
                  <c:v>0.30298342541436468</c:v>
                </c:pt>
                <c:pt idx="50">
                  <c:v>0.13579737335834899</c:v>
                </c:pt>
                <c:pt idx="51">
                  <c:v>0.18575074667390712</c:v>
                </c:pt>
                <c:pt idx="52">
                  <c:v>0.21842348682887588</c:v>
                </c:pt>
                <c:pt idx="53">
                  <c:v>0.2792857142857143</c:v>
                </c:pt>
                <c:pt idx="54">
                  <c:v>0.20133333333333325</c:v>
                </c:pt>
                <c:pt idx="55">
                  <c:v>0.37722222222222224</c:v>
                </c:pt>
                <c:pt idx="56">
                  <c:v>-4.2283950617283954E-2</c:v>
                </c:pt>
                <c:pt idx="57">
                  <c:v>0.24953767895967502</c:v>
                </c:pt>
                <c:pt idx="58">
                  <c:v>0.36429603787690007</c:v>
                </c:pt>
                <c:pt idx="59">
                  <c:v>0.20161934805467929</c:v>
                </c:pt>
                <c:pt idx="60">
                  <c:v>0.40188850967007961</c:v>
                </c:pt>
                <c:pt idx="61">
                  <c:v>0.2199286987522282</c:v>
                </c:pt>
                <c:pt idx="62">
                  <c:v>0.35099476439790578</c:v>
                </c:pt>
                <c:pt idx="63">
                  <c:v>0.36167364016736403</c:v>
                </c:pt>
                <c:pt idx="64">
                  <c:v>0.34797799174690514</c:v>
                </c:pt>
                <c:pt idx="65">
                  <c:v>0.24041748672988605</c:v>
                </c:pt>
                <c:pt idx="66">
                  <c:v>0.25845342706502639</c:v>
                </c:pt>
                <c:pt idx="67">
                  <c:v>7.5416666666666604E-2</c:v>
                </c:pt>
                <c:pt idx="68">
                  <c:v>0.37771428571428572</c:v>
                </c:pt>
                <c:pt idx="69">
                  <c:v>1.8666666666666692E-2</c:v>
                </c:pt>
                <c:pt idx="70">
                  <c:v>0.15921052631578947</c:v>
                </c:pt>
                <c:pt idx="71">
                  <c:v>0.15924219910846948</c:v>
                </c:pt>
                <c:pt idx="72">
                  <c:v>0.17541858325666967</c:v>
                </c:pt>
                <c:pt idx="73">
                  <c:v>0.1379298157031052</c:v>
                </c:pt>
                <c:pt idx="74">
                  <c:v>0.32386666666666664</c:v>
                </c:pt>
                <c:pt idx="75">
                  <c:v>0.11663986457892504</c:v>
                </c:pt>
                <c:pt idx="76">
                  <c:v>0.34909999999999997</c:v>
                </c:pt>
                <c:pt idx="77">
                  <c:v>0.12461538461538461</c:v>
                </c:pt>
                <c:pt idx="78">
                  <c:v>0.18633333333333332</c:v>
                </c:pt>
                <c:pt idx="79">
                  <c:v>4.7462686567164111E-2</c:v>
                </c:pt>
                <c:pt idx="80">
                  <c:v>5.6600790513833966E-2</c:v>
                </c:pt>
                <c:pt idx="81">
                  <c:v>0.23925925925925925</c:v>
                </c:pt>
                <c:pt idx="82">
                  <c:v>0.14514991989013501</c:v>
                </c:pt>
                <c:pt idx="83">
                  <c:v>0.39010204081632655</c:v>
                </c:pt>
                <c:pt idx="84">
                  <c:v>0.31971014492753624</c:v>
                </c:pt>
                <c:pt idx="85">
                  <c:v>0.13636363636363635</c:v>
                </c:pt>
                <c:pt idx="86">
                  <c:v>0.3377086035451794</c:v>
                </c:pt>
                <c:pt idx="87">
                  <c:v>0.17835727839522908</c:v>
                </c:pt>
                <c:pt idx="88">
                  <c:v>-2.8198433420365118E-3</c:v>
                </c:pt>
                <c:pt idx="89">
                  <c:v>0.35830666666666672</c:v>
                </c:pt>
                <c:pt idx="90">
                  <c:v>0.22155642023346298</c:v>
                </c:pt>
                <c:pt idx="91">
                  <c:v>-0.11333333333333333</c:v>
                </c:pt>
                <c:pt idx="92">
                  <c:v>0.15531531531531526</c:v>
                </c:pt>
                <c:pt idx="93">
                  <c:v>-0.28702702702702698</c:v>
                </c:pt>
                <c:pt idx="94">
                  <c:v>0.38725529100529099</c:v>
                </c:pt>
                <c:pt idx="95">
                  <c:v>2.9478787878787858E-2</c:v>
                </c:pt>
                <c:pt idx="96">
                  <c:v>-9.569367369589353E-2</c:v>
                </c:pt>
                <c:pt idx="97">
                  <c:v>-0.27859154929577473</c:v>
                </c:pt>
                <c:pt idx="98">
                  <c:v>0.2053913043478261</c:v>
                </c:pt>
                <c:pt idx="99">
                  <c:v>7.6318181818181854E-2</c:v>
                </c:pt>
                <c:pt idx="100">
                  <c:v>0.21248010610079582</c:v>
                </c:pt>
                <c:pt idx="101">
                  <c:v>0.30727272727272725</c:v>
                </c:pt>
                <c:pt idx="102">
                  <c:v>0.17183897529734668</c:v>
                </c:pt>
                <c:pt idx="103">
                  <c:v>0.27308333333333334</c:v>
                </c:pt>
                <c:pt idx="104">
                  <c:v>0.34526315789473688</c:v>
                </c:pt>
                <c:pt idx="105">
                  <c:v>0.26255882352941173</c:v>
                </c:pt>
                <c:pt idx="106">
                  <c:v>0.25923522595596749</c:v>
                </c:pt>
                <c:pt idx="107">
                  <c:v>0.56190476190476191</c:v>
                </c:pt>
                <c:pt idx="108">
                  <c:v>0.21621000820344541</c:v>
                </c:pt>
                <c:pt idx="109">
                  <c:v>0.18444444444444444</c:v>
                </c:pt>
                <c:pt idx="110">
                  <c:v>0.1468571428571428</c:v>
                </c:pt>
                <c:pt idx="111">
                  <c:v>0.29758513931888536</c:v>
                </c:pt>
                <c:pt idx="112">
                  <c:v>3.214285714285714E-2</c:v>
                </c:pt>
                <c:pt idx="113">
                  <c:v>9.178970917225944E-2</c:v>
                </c:pt>
                <c:pt idx="114">
                  <c:v>0.14109090909090913</c:v>
                </c:pt>
                <c:pt idx="115">
                  <c:v>0.16499999999999992</c:v>
                </c:pt>
                <c:pt idx="116">
                  <c:v>0.38294372294372292</c:v>
                </c:pt>
                <c:pt idx="117">
                  <c:v>0.23830115830115822</c:v>
                </c:pt>
                <c:pt idx="118">
                  <c:v>0.2813809523809524</c:v>
                </c:pt>
                <c:pt idx="119">
                  <c:v>0.36509803921568629</c:v>
                </c:pt>
                <c:pt idx="120">
                  <c:v>0.44583003952569167</c:v>
                </c:pt>
                <c:pt idx="121">
                  <c:v>-0.2165333333333333</c:v>
                </c:pt>
                <c:pt idx="122">
                  <c:v>0.19036255767963084</c:v>
                </c:pt>
                <c:pt idx="123">
                  <c:v>0.23129773572152748</c:v>
                </c:pt>
                <c:pt idx="124">
                  <c:v>0.2024615384615385</c:v>
                </c:pt>
                <c:pt idx="125">
                  <c:v>7.1499999999999994E-2</c:v>
                </c:pt>
                <c:pt idx="126">
                  <c:v>0.22323809523809521</c:v>
                </c:pt>
                <c:pt idx="127">
                  <c:v>0.1448927038626609</c:v>
                </c:pt>
                <c:pt idx="128">
                  <c:v>0.33950000000000002</c:v>
                </c:pt>
                <c:pt idx="129">
                  <c:v>0.24015969338869372</c:v>
                </c:pt>
                <c:pt idx="130">
                  <c:v>4.4328165374676931E-2</c:v>
                </c:pt>
                <c:pt idx="131">
                  <c:v>3.7029702970297007E-2</c:v>
                </c:pt>
                <c:pt idx="132">
                  <c:v>0.37870588235294117</c:v>
                </c:pt>
                <c:pt idx="133">
                  <c:v>0.15904761904761905</c:v>
                </c:pt>
                <c:pt idx="134">
                  <c:v>0.60470099667774091</c:v>
                </c:pt>
                <c:pt idx="135">
                  <c:v>0.33053254437869817</c:v>
                </c:pt>
                <c:pt idx="136">
                  <c:v>6.5210871602624107E-2</c:v>
                </c:pt>
                <c:pt idx="137">
                  <c:v>-0.24248175182481754</c:v>
                </c:pt>
                <c:pt idx="138">
                  <c:v>0.22314993122420909</c:v>
                </c:pt>
                <c:pt idx="139">
                  <c:v>0.2995744680851064</c:v>
                </c:pt>
                <c:pt idx="140">
                  <c:v>-9.3766233766233831E-2</c:v>
                </c:pt>
                <c:pt idx="141">
                  <c:v>0.35439999999999999</c:v>
                </c:pt>
                <c:pt idx="142">
                  <c:v>0.58374999999999999</c:v>
                </c:pt>
                <c:pt idx="143">
                  <c:v>0.19638095238095243</c:v>
                </c:pt>
                <c:pt idx="144">
                  <c:v>0.52</c:v>
                </c:pt>
                <c:pt idx="145">
                  <c:v>0.46084337349397592</c:v>
                </c:pt>
                <c:pt idx="146">
                  <c:v>0.30701612903225811</c:v>
                </c:pt>
                <c:pt idx="147">
                  <c:v>0.32617142857142856</c:v>
                </c:pt>
                <c:pt idx="148">
                  <c:v>0.20081436077057788</c:v>
                </c:pt>
                <c:pt idx="149">
                  <c:v>0.29014005602240894</c:v>
                </c:pt>
                <c:pt idx="150">
                  <c:v>0.37843478260869567</c:v>
                </c:pt>
                <c:pt idx="151">
                  <c:v>0.31349796717361839</c:v>
                </c:pt>
                <c:pt idx="152">
                  <c:v>0.24258064516129033</c:v>
                </c:pt>
                <c:pt idx="153">
                  <c:v>0.54933333333333334</c:v>
                </c:pt>
                <c:pt idx="154">
                  <c:v>-0.21629770992366418</c:v>
                </c:pt>
                <c:pt idx="155">
                  <c:v>0.24531645569620247</c:v>
                </c:pt>
                <c:pt idx="156">
                  <c:v>0.36464761904761905</c:v>
                </c:pt>
                <c:pt idx="157">
                  <c:v>0.28049999999999997</c:v>
                </c:pt>
                <c:pt idx="158">
                  <c:v>0.18553950722175011</c:v>
                </c:pt>
                <c:pt idx="159">
                  <c:v>0.38504999999999995</c:v>
                </c:pt>
                <c:pt idx="160">
                  <c:v>0.20551724137931035</c:v>
                </c:pt>
                <c:pt idx="161">
                  <c:v>0.37668231611893582</c:v>
                </c:pt>
                <c:pt idx="162">
                  <c:v>0.35918495297805647</c:v>
                </c:pt>
                <c:pt idx="163">
                  <c:v>0.20799999999999999</c:v>
                </c:pt>
                <c:pt idx="164">
                  <c:v>0.21430204732783828</c:v>
                </c:pt>
                <c:pt idx="165">
                  <c:v>0.16266666666666671</c:v>
                </c:pt>
                <c:pt idx="166">
                  <c:v>-5.5333333333333408E-2</c:v>
                </c:pt>
                <c:pt idx="167">
                  <c:v>0.13876651982378846</c:v>
                </c:pt>
                <c:pt idx="168">
                  <c:v>-0.20499999999999999</c:v>
                </c:pt>
                <c:pt idx="169">
                  <c:v>0.36611235955056176</c:v>
                </c:pt>
                <c:pt idx="170">
                  <c:v>0.23635294117647057</c:v>
                </c:pt>
                <c:pt idx="171">
                  <c:v>6.5519169329073465E-2</c:v>
                </c:pt>
                <c:pt idx="172">
                  <c:v>0.23249249249249254</c:v>
                </c:pt>
                <c:pt idx="173">
                  <c:v>0.15275820170109358</c:v>
                </c:pt>
                <c:pt idx="174">
                  <c:v>0.55768965517241376</c:v>
                </c:pt>
                <c:pt idx="175">
                  <c:v>0.32410931174089069</c:v>
                </c:pt>
                <c:pt idx="176">
                  <c:v>0.17244444444444448</c:v>
                </c:pt>
                <c:pt idx="177">
                  <c:v>0.33208163265306118</c:v>
                </c:pt>
                <c:pt idx="178">
                  <c:v>0.44415704387990768</c:v>
                </c:pt>
                <c:pt idx="179">
                  <c:v>0.37385899814471241</c:v>
                </c:pt>
                <c:pt idx="180">
                  <c:v>0.23545970488081733</c:v>
                </c:pt>
                <c:pt idx="181">
                  <c:v>0.31443181818181815</c:v>
                </c:pt>
                <c:pt idx="182">
                  <c:v>-7.1051883439943161E-2</c:v>
                </c:pt>
                <c:pt idx="183">
                  <c:v>0.4282395382395382</c:v>
                </c:pt>
                <c:pt idx="184">
                  <c:v>0.20975806451612897</c:v>
                </c:pt>
                <c:pt idx="185">
                  <c:v>-0.17291936433195995</c:v>
                </c:pt>
                <c:pt idx="186">
                  <c:v>0.26718589272593679</c:v>
                </c:pt>
                <c:pt idx="187">
                  <c:v>0.34867153284671526</c:v>
                </c:pt>
                <c:pt idx="188">
                  <c:v>0.14299999999999999</c:v>
                </c:pt>
                <c:pt idx="189">
                  <c:v>0.22560000000000005</c:v>
                </c:pt>
                <c:pt idx="190">
                  <c:v>0.13622222222222224</c:v>
                </c:pt>
                <c:pt idx="191">
                  <c:v>0.53778972520908008</c:v>
                </c:pt>
                <c:pt idx="192">
                  <c:v>0.37643002028397571</c:v>
                </c:pt>
                <c:pt idx="193">
                  <c:v>0.51227799227799231</c:v>
                </c:pt>
                <c:pt idx="194">
                  <c:v>9.3190271816881207E-2</c:v>
                </c:pt>
                <c:pt idx="195">
                  <c:v>9.6120906801007655E-2</c:v>
                </c:pt>
                <c:pt idx="196">
                  <c:v>0.29213140843469354</c:v>
                </c:pt>
                <c:pt idx="197">
                  <c:v>0.51266666666666671</c:v>
                </c:pt>
                <c:pt idx="198">
                  <c:v>-1.7507284768211921</c:v>
                </c:pt>
                <c:pt idx="199">
                  <c:v>-4.0381584404811335E-2</c:v>
                </c:pt>
                <c:pt idx="200">
                  <c:v>-0.18622406639004138</c:v>
                </c:pt>
                <c:pt idx="201">
                  <c:v>0.19277992277992284</c:v>
                </c:pt>
                <c:pt idx="202">
                  <c:v>0.47314285714285714</c:v>
                </c:pt>
                <c:pt idx="203">
                  <c:v>0.35092753623188411</c:v>
                </c:pt>
                <c:pt idx="204">
                  <c:v>7.5925925925925926E-3</c:v>
                </c:pt>
                <c:pt idx="205">
                  <c:v>-0.12600000000000003</c:v>
                </c:pt>
                <c:pt idx="206">
                  <c:v>0.73054054054054063</c:v>
                </c:pt>
                <c:pt idx="207">
                  <c:v>0.15807265774378579</c:v>
                </c:pt>
                <c:pt idx="208">
                  <c:v>0.41509293680297399</c:v>
                </c:pt>
                <c:pt idx="209">
                  <c:v>0.30502732240437164</c:v>
                </c:pt>
                <c:pt idx="210">
                  <c:v>0.26414122137404572</c:v>
                </c:pt>
                <c:pt idx="211">
                  <c:v>0.44666666666666666</c:v>
                </c:pt>
                <c:pt idx="212">
                  <c:v>0.51100000000000001</c:v>
                </c:pt>
                <c:pt idx="213">
                  <c:v>0.1875789473684211</c:v>
                </c:pt>
                <c:pt idx="214">
                  <c:v>0.27475423728813564</c:v>
                </c:pt>
                <c:pt idx="215">
                  <c:v>9.5748233782915818E-2</c:v>
                </c:pt>
                <c:pt idx="216">
                  <c:v>0.59796491228070181</c:v>
                </c:pt>
                <c:pt idx="217">
                  <c:v>0.44693430656934302</c:v>
                </c:pt>
                <c:pt idx="218">
                  <c:v>0.16933333333333336</c:v>
                </c:pt>
                <c:pt idx="219">
                  <c:v>0.48970695970695977</c:v>
                </c:pt>
                <c:pt idx="220">
                  <c:v>-0.14730663741086131</c:v>
                </c:pt>
                <c:pt idx="221">
                  <c:v>0.74</c:v>
                </c:pt>
                <c:pt idx="222">
                  <c:v>0.52355102040816326</c:v>
                </c:pt>
                <c:pt idx="223">
                  <c:v>0.42249051833122631</c:v>
                </c:pt>
                <c:pt idx="224">
                  <c:v>0.50981333333333334</c:v>
                </c:pt>
                <c:pt idx="225">
                  <c:v>-4.6511627906976744E-3</c:v>
                </c:pt>
                <c:pt idx="226">
                  <c:v>0.52303509179642105</c:v>
                </c:pt>
                <c:pt idx="227">
                  <c:v>0.36589976133651553</c:v>
                </c:pt>
                <c:pt idx="228">
                  <c:v>0.27111111111111114</c:v>
                </c:pt>
                <c:pt idx="229">
                  <c:v>-0.69333333333333336</c:v>
                </c:pt>
                <c:pt idx="230">
                  <c:v>0.3326680244399185</c:v>
                </c:pt>
                <c:pt idx="231">
                  <c:v>0.44770588235294118</c:v>
                </c:pt>
                <c:pt idx="232">
                  <c:v>0.11102564102564111</c:v>
                </c:pt>
                <c:pt idx="233">
                  <c:v>0.54784374999999996</c:v>
                </c:pt>
                <c:pt idx="234">
                  <c:v>0.49157894736842106</c:v>
                </c:pt>
                <c:pt idx="235">
                  <c:v>0.53027999999999997</c:v>
                </c:pt>
                <c:pt idx="236">
                  <c:v>0.14842105263157895</c:v>
                </c:pt>
                <c:pt idx="237">
                  <c:v>0.40989999999999999</c:v>
                </c:pt>
                <c:pt idx="238">
                  <c:v>0.31288765088207987</c:v>
                </c:pt>
                <c:pt idx="239">
                  <c:v>0.19456058588548603</c:v>
                </c:pt>
                <c:pt idx="240">
                  <c:v>-0.44417266187050364</c:v>
                </c:pt>
                <c:pt idx="241">
                  <c:v>9.2917009038619491E-2</c:v>
                </c:pt>
                <c:pt idx="242">
                  <c:v>-1.0934285714285716</c:v>
                </c:pt>
                <c:pt idx="243">
                  <c:v>4.2693877551020373E-2</c:v>
                </c:pt>
                <c:pt idx="244">
                  <c:v>6.1001826245760546E-2</c:v>
                </c:pt>
                <c:pt idx="245">
                  <c:v>0.39854280510018214</c:v>
                </c:pt>
                <c:pt idx="246">
                  <c:v>0.28425440481306397</c:v>
                </c:pt>
                <c:pt idx="247">
                  <c:v>0.15458333333333332</c:v>
                </c:pt>
                <c:pt idx="248">
                  <c:v>0.24744047619047621</c:v>
                </c:pt>
                <c:pt idx="249">
                  <c:v>0.27642857142857141</c:v>
                </c:pt>
                <c:pt idx="250">
                  <c:v>0.28081543182814556</c:v>
                </c:pt>
                <c:pt idx="251">
                  <c:v>-0.34022988505747126</c:v>
                </c:pt>
                <c:pt idx="252">
                  <c:v>0.53100000000000003</c:v>
                </c:pt>
                <c:pt idx="253">
                  <c:v>6.0401854714064805E-2</c:v>
                </c:pt>
                <c:pt idx="254">
                  <c:v>0.44738775510204076</c:v>
                </c:pt>
                <c:pt idx="255">
                  <c:v>0.28672185430463565</c:v>
                </c:pt>
                <c:pt idx="256">
                  <c:v>0.29008748906386694</c:v>
                </c:pt>
                <c:pt idx="257">
                  <c:v>-2.545454545454504E-3</c:v>
                </c:pt>
                <c:pt idx="258">
                  <c:v>0.15345454545454543</c:v>
                </c:pt>
                <c:pt idx="259">
                  <c:v>0.16199999999999998</c:v>
                </c:pt>
                <c:pt idx="260">
                  <c:v>0.3051428571428571</c:v>
                </c:pt>
                <c:pt idx="261">
                  <c:v>0.38374603174603172</c:v>
                </c:pt>
                <c:pt idx="262">
                  <c:v>0.52197872340425533</c:v>
                </c:pt>
                <c:pt idx="263">
                  <c:v>0.38843702579666156</c:v>
                </c:pt>
                <c:pt idx="264">
                  <c:v>0.22567279767666978</c:v>
                </c:pt>
                <c:pt idx="265">
                  <c:v>0.25137005649717503</c:v>
                </c:pt>
                <c:pt idx="266">
                  <c:v>-7.3333333333327273E-4</c:v>
                </c:pt>
                <c:pt idx="267">
                  <c:v>0.29623529411764699</c:v>
                </c:pt>
                <c:pt idx="268">
                  <c:v>0.42129230769230769</c:v>
                </c:pt>
                <c:pt idx="269">
                  <c:v>0.10599033816425114</c:v>
                </c:pt>
                <c:pt idx="270">
                  <c:v>0.65391304347826085</c:v>
                </c:pt>
                <c:pt idx="271">
                  <c:v>0.10655290102389073</c:v>
                </c:pt>
                <c:pt idx="272">
                  <c:v>0.18657142857142861</c:v>
                </c:pt>
                <c:pt idx="273">
                  <c:v>0.18664285714285717</c:v>
                </c:pt>
                <c:pt idx="274">
                  <c:v>-8.7970297029703021E-2</c:v>
                </c:pt>
                <c:pt idx="275">
                  <c:v>0.52260465116279065</c:v>
                </c:pt>
                <c:pt idx="276">
                  <c:v>-0.40250000000000002</c:v>
                </c:pt>
                <c:pt idx="277">
                  <c:v>0.19004608294930875</c:v>
                </c:pt>
                <c:pt idx="278">
                  <c:v>0.4372571428571429</c:v>
                </c:pt>
                <c:pt idx="279">
                  <c:v>0.26360000000000006</c:v>
                </c:pt>
                <c:pt idx="280">
                  <c:v>-0.20752773375594294</c:v>
                </c:pt>
                <c:pt idx="281">
                  <c:v>9.0196420776953237E-2</c:v>
                </c:pt>
                <c:pt idx="282">
                  <c:v>0.1424347826086956</c:v>
                </c:pt>
                <c:pt idx="283">
                  <c:v>0.42837753510140408</c:v>
                </c:pt>
                <c:pt idx="284">
                  <c:v>8.6999999999999925E-2</c:v>
                </c:pt>
                <c:pt idx="285">
                  <c:v>0.33644230769230765</c:v>
                </c:pt>
                <c:pt idx="286">
                  <c:v>-8.9999999999999969E-2</c:v>
                </c:pt>
                <c:pt idx="287">
                  <c:v>0.32217948717948719</c:v>
                </c:pt>
                <c:pt idx="288">
                  <c:v>-0.19141176470588242</c:v>
                </c:pt>
                <c:pt idx="289">
                  <c:v>0.33757575757575758</c:v>
                </c:pt>
                <c:pt idx="290">
                  <c:v>0.48158844765342962</c:v>
                </c:pt>
                <c:pt idx="291">
                  <c:v>0.4060754716981132</c:v>
                </c:pt>
                <c:pt idx="292">
                  <c:v>0.30310096153846161</c:v>
                </c:pt>
                <c:pt idx="293">
                  <c:v>0.28307858334150887</c:v>
                </c:pt>
                <c:pt idx="294">
                  <c:v>0.44801240372111634</c:v>
                </c:pt>
                <c:pt idx="295">
                  <c:v>0.42</c:v>
                </c:pt>
                <c:pt idx="296">
                  <c:v>-0.11166666666666666</c:v>
                </c:pt>
                <c:pt idx="297">
                  <c:v>0.43327646763672856</c:v>
                </c:pt>
                <c:pt idx="298">
                  <c:v>0.31285714285714283</c:v>
                </c:pt>
                <c:pt idx="299">
                  <c:v>0.34709302325581393</c:v>
                </c:pt>
                <c:pt idx="300">
                  <c:v>0.10790697674418605</c:v>
                </c:pt>
                <c:pt idx="301">
                  <c:v>0.18376778599886176</c:v>
                </c:pt>
                <c:pt idx="302">
                  <c:v>0.21337500000000006</c:v>
                </c:pt>
                <c:pt idx="303">
                  <c:v>0.3287692307692307</c:v>
                </c:pt>
                <c:pt idx="304">
                  <c:v>0.23031705227077975</c:v>
                </c:pt>
                <c:pt idx="305">
                  <c:v>0.14572549019607839</c:v>
                </c:pt>
                <c:pt idx="306">
                  <c:v>9.3091835290788183E-2</c:v>
                </c:pt>
                <c:pt idx="307">
                  <c:v>0.16151079136690646</c:v>
                </c:pt>
                <c:pt idx="308">
                  <c:v>0.14114638447971783</c:v>
                </c:pt>
                <c:pt idx="309">
                  <c:v>0.19955974842767288</c:v>
                </c:pt>
                <c:pt idx="310">
                  <c:v>0.24801393728223003</c:v>
                </c:pt>
                <c:pt idx="311">
                  <c:v>0.22002564102564101</c:v>
                </c:pt>
                <c:pt idx="312">
                  <c:v>0.48012500000000002</c:v>
                </c:pt>
                <c:pt idx="313">
                  <c:v>0.19682015638575148</c:v>
                </c:pt>
                <c:pt idx="314">
                  <c:v>0.33115954664341757</c:v>
                </c:pt>
                <c:pt idx="315">
                  <c:v>0.36821362799263346</c:v>
                </c:pt>
                <c:pt idx="316">
                  <c:v>0.31703703703703701</c:v>
                </c:pt>
                <c:pt idx="317">
                  <c:v>0.24042857142857146</c:v>
                </c:pt>
                <c:pt idx="318">
                  <c:v>3.8025641025641072E-2</c:v>
                </c:pt>
                <c:pt idx="319">
                  <c:v>0.32976789800588419</c:v>
                </c:pt>
                <c:pt idx="320">
                  <c:v>-0.221</c:v>
                </c:pt>
                <c:pt idx="321">
                  <c:v>-2.0888888888888922E-2</c:v>
                </c:pt>
                <c:pt idx="322">
                  <c:v>-0.10236363636363628</c:v>
                </c:pt>
                <c:pt idx="323">
                  <c:v>0.31765957446808513</c:v>
                </c:pt>
                <c:pt idx="324">
                  <c:v>0.23070931849791368</c:v>
                </c:pt>
                <c:pt idx="325">
                  <c:v>0.1678675282714055</c:v>
                </c:pt>
                <c:pt idx="326">
                  <c:v>0.30782399449982811</c:v>
                </c:pt>
                <c:pt idx="327">
                  <c:v>-0.81292307692307708</c:v>
                </c:pt>
                <c:pt idx="328">
                  <c:v>0.1770061213132999</c:v>
                </c:pt>
                <c:pt idx="329">
                  <c:v>0.23560117302052788</c:v>
                </c:pt>
                <c:pt idx="330">
                  <c:v>0.11075659202332054</c:v>
                </c:pt>
                <c:pt idx="331">
                  <c:v>0.33425763062596991</c:v>
                </c:pt>
                <c:pt idx="332">
                  <c:v>0.39306122448979591</c:v>
                </c:pt>
                <c:pt idx="333">
                  <c:v>0.36849999999999999</c:v>
                </c:pt>
                <c:pt idx="334">
                  <c:v>0.17972151898734179</c:v>
                </c:pt>
                <c:pt idx="335">
                  <c:v>0.43660606060606061</c:v>
                </c:pt>
                <c:pt idx="336">
                  <c:v>0.35922580645161289</c:v>
                </c:pt>
                <c:pt idx="337">
                  <c:v>0.18740248962655609</c:v>
                </c:pt>
                <c:pt idx="338">
                  <c:v>9.5603448275862105E-2</c:v>
                </c:pt>
                <c:pt idx="339">
                  <c:v>0.44420000000000004</c:v>
                </c:pt>
                <c:pt idx="340">
                  <c:v>0.20683019896429536</c:v>
                </c:pt>
                <c:pt idx="341">
                  <c:v>0.21834833989870561</c:v>
                </c:pt>
                <c:pt idx="342">
                  <c:v>0.34358271865121182</c:v>
                </c:pt>
                <c:pt idx="343">
                  <c:v>0.22820779220779219</c:v>
                </c:pt>
                <c:pt idx="344">
                  <c:v>0.2994230769230769</c:v>
                </c:pt>
                <c:pt idx="345">
                  <c:v>0.36840740740740741</c:v>
                </c:pt>
                <c:pt idx="346">
                  <c:v>0.25944444444444437</c:v>
                </c:pt>
                <c:pt idx="347">
                  <c:v>6.8631578947368474E-2</c:v>
                </c:pt>
                <c:pt idx="348">
                  <c:v>-0.16479123887748132</c:v>
                </c:pt>
                <c:pt idx="349">
                  <c:v>0.31194448825106452</c:v>
                </c:pt>
                <c:pt idx="350">
                  <c:v>0.35866112154547897</c:v>
                </c:pt>
                <c:pt idx="351">
                  <c:v>0.44858333333333333</c:v>
                </c:pt>
                <c:pt idx="352">
                  <c:v>0.18002327901563017</c:v>
                </c:pt>
                <c:pt idx="353">
                  <c:v>-8.7444444444444491E-2</c:v>
                </c:pt>
                <c:pt idx="354">
                  <c:v>0.18477477477477477</c:v>
                </c:pt>
                <c:pt idx="355">
                  <c:v>0.36153708668453971</c:v>
                </c:pt>
                <c:pt idx="356">
                  <c:v>0.13460869565217387</c:v>
                </c:pt>
                <c:pt idx="357">
                  <c:v>0.53457971014492756</c:v>
                </c:pt>
                <c:pt idx="358">
                  <c:v>0.21468978682787132</c:v>
                </c:pt>
                <c:pt idx="359">
                  <c:v>0.11354153653966266</c:v>
                </c:pt>
                <c:pt idx="360">
                  <c:v>0.41515701325889737</c:v>
                </c:pt>
                <c:pt idx="361">
                  <c:v>0.10969785008715861</c:v>
                </c:pt>
                <c:pt idx="362">
                  <c:v>-0.31324675324675333</c:v>
                </c:pt>
                <c:pt idx="363">
                  <c:v>0.19432926829268293</c:v>
                </c:pt>
                <c:pt idx="364">
                  <c:v>0.53469135802469137</c:v>
                </c:pt>
                <c:pt idx="365">
                  <c:v>0.18834635416666667</c:v>
                </c:pt>
                <c:pt idx="366">
                  <c:v>-1.2314090909090911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83-7C49-83FF-B01D043E2E02}"/>
            </c:ext>
          </c:extLst>
        </c:ser>
        <c:ser>
          <c:idx val="23"/>
          <c:order val="2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Finished_Jobs!$AB$1:$AB$367</c:f>
              <c:numCache>
                <c:formatCode>General</c:formatCode>
                <c:ptCount val="367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37">
                  <c:v>1</c:v>
                </c:pt>
                <c:pt idx="59">
                  <c:v>1</c:v>
                </c:pt>
                <c:pt idx="329">
                  <c:v>1</c:v>
                </c:pt>
                <c:pt idx="335">
                  <c:v>1</c:v>
                </c:pt>
                <c:pt idx="336">
                  <c:v>1</c:v>
                </c:pt>
                <c:pt idx="350">
                  <c:v>1</c:v>
                </c:pt>
                <c:pt idx="3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83-7C49-83FF-B01D043E2E02}"/>
            </c:ext>
          </c:extLst>
        </c:ser>
        <c:ser>
          <c:idx val="24"/>
          <c:order val="24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Finished_Jobs!$A$2:$A$367</c:f>
              <c:strCache>
                <c:ptCount val="366"/>
                <c:pt idx="0">
                  <c:v>1/5/2021</c:v>
                </c:pt>
                <c:pt idx="1">
                  <c:v>1/5/2021</c:v>
                </c:pt>
                <c:pt idx="2">
                  <c:v>1/5/2021</c:v>
                </c:pt>
                <c:pt idx="3">
                  <c:v>1/5/2021</c:v>
                </c:pt>
                <c:pt idx="4">
                  <c:v>1/8/2021</c:v>
                </c:pt>
                <c:pt idx="5">
                  <c:v>1/6/2021</c:v>
                </c:pt>
                <c:pt idx="6">
                  <c:v>1/11/2021</c:v>
                </c:pt>
                <c:pt idx="7">
                  <c:v>1/8/2021</c:v>
                </c:pt>
                <c:pt idx="8">
                  <c:v>1/4/2021</c:v>
                </c:pt>
                <c:pt idx="9">
                  <c:v>1/14/2021</c:v>
                </c:pt>
                <c:pt idx="10">
                  <c:v>1/11/2021</c:v>
                </c:pt>
                <c:pt idx="11">
                  <c:v>1/12/2021</c:v>
                </c:pt>
                <c:pt idx="12">
                  <c:v>1/14/2021</c:v>
                </c:pt>
                <c:pt idx="13">
                  <c:v>1/14/2021</c:v>
                </c:pt>
                <c:pt idx="14">
                  <c:v>1/14/2021</c:v>
                </c:pt>
                <c:pt idx="15">
                  <c:v>1/18/2021</c:v>
                </c:pt>
                <c:pt idx="16">
                  <c:v>1/11/2021</c:v>
                </c:pt>
                <c:pt idx="17">
                  <c:v>1/18/2021</c:v>
                </c:pt>
                <c:pt idx="18">
                  <c:v>1/18/2021</c:v>
                </c:pt>
                <c:pt idx="19">
                  <c:v>1/18/2021</c:v>
                </c:pt>
                <c:pt idx="20">
                  <c:v>1/19/2021</c:v>
                </c:pt>
                <c:pt idx="21">
                  <c:v>1/28/2021</c:v>
                </c:pt>
                <c:pt idx="22">
                  <c:v>1/27/2021</c:v>
                </c:pt>
                <c:pt idx="23">
                  <c:v>1/28/2021</c:v>
                </c:pt>
                <c:pt idx="24">
                  <c:v>1/27/2021</c:v>
                </c:pt>
                <c:pt idx="25">
                  <c:v>1/25/2021</c:v>
                </c:pt>
                <c:pt idx="26">
                  <c:v>1/27/2021</c:v>
                </c:pt>
                <c:pt idx="27">
                  <c:v>1/27/2021</c:v>
                </c:pt>
                <c:pt idx="28">
                  <c:v>2/3/2021</c:v>
                </c:pt>
                <c:pt idx="29">
                  <c:v>2/1/2021</c:v>
                </c:pt>
                <c:pt idx="30">
                  <c:v>2/3/2021</c:v>
                </c:pt>
                <c:pt idx="31">
                  <c:v>2/4/2021</c:v>
                </c:pt>
                <c:pt idx="32">
                  <c:v>2/4/2021</c:v>
                </c:pt>
                <c:pt idx="33">
                  <c:v>2/5/2021</c:v>
                </c:pt>
                <c:pt idx="34">
                  <c:v>2/5/2021</c:v>
                </c:pt>
                <c:pt idx="35">
                  <c:v>2/5/2021</c:v>
                </c:pt>
                <c:pt idx="36">
                  <c:v>2/1/2021</c:v>
                </c:pt>
                <c:pt idx="37">
                  <c:v>2/11/2021</c:v>
                </c:pt>
                <c:pt idx="38">
                  <c:v>2/10/2021</c:v>
                </c:pt>
                <c:pt idx="39">
                  <c:v>2/12/2021</c:v>
                </c:pt>
                <c:pt idx="40">
                  <c:v>2/5/2021</c:v>
                </c:pt>
                <c:pt idx="41">
                  <c:v>2/10/2021</c:v>
                </c:pt>
                <c:pt idx="42">
                  <c:v>2/12/2021</c:v>
                </c:pt>
                <c:pt idx="43">
                  <c:v>2/16/2021</c:v>
                </c:pt>
                <c:pt idx="44">
                  <c:v>2/17/2021</c:v>
                </c:pt>
                <c:pt idx="45">
                  <c:v>2/18/2021</c:v>
                </c:pt>
                <c:pt idx="46">
                  <c:v>2/18/2021</c:v>
                </c:pt>
                <c:pt idx="47">
                  <c:v>2/19/2021</c:v>
                </c:pt>
                <c:pt idx="48">
                  <c:v>2/19/2021</c:v>
                </c:pt>
                <c:pt idx="49">
                  <c:v>2/16/2021</c:v>
                </c:pt>
                <c:pt idx="50">
                  <c:v>1/25/2021</c:v>
                </c:pt>
                <c:pt idx="51">
                  <c:v>2/26/2021</c:v>
                </c:pt>
                <c:pt idx="52">
                  <c:v>2/24/2021</c:v>
                </c:pt>
                <c:pt idx="53">
                  <c:v>3/4/2021</c:v>
                </c:pt>
                <c:pt idx="54">
                  <c:v>3/1/2021</c:v>
                </c:pt>
                <c:pt idx="55">
                  <c:v>3/2/2021</c:v>
                </c:pt>
                <c:pt idx="56">
                  <c:v>3/3/2021</c:v>
                </c:pt>
                <c:pt idx="57">
                  <c:v>3/6/2021</c:v>
                </c:pt>
                <c:pt idx="58">
                  <c:v>3/11/2021</c:v>
                </c:pt>
                <c:pt idx="59">
                  <c:v>3/11/2021</c:v>
                </c:pt>
                <c:pt idx="60">
                  <c:v>3/9/2021</c:v>
                </c:pt>
                <c:pt idx="61">
                  <c:v>3/11/2021</c:v>
                </c:pt>
                <c:pt idx="62">
                  <c:v>3/10/2021</c:v>
                </c:pt>
                <c:pt idx="63">
                  <c:v>3/15/2021</c:v>
                </c:pt>
                <c:pt idx="64">
                  <c:v>3/18/2021</c:v>
                </c:pt>
                <c:pt idx="65">
                  <c:v>3/18/2021</c:v>
                </c:pt>
                <c:pt idx="66">
                  <c:v>3/19/2021</c:v>
                </c:pt>
                <c:pt idx="67">
                  <c:v>3/19/2021</c:v>
                </c:pt>
                <c:pt idx="68">
                  <c:v>3/18/2021</c:v>
                </c:pt>
                <c:pt idx="69">
                  <c:v>3/24/2021</c:v>
                </c:pt>
                <c:pt idx="70">
                  <c:v>3/20/2021</c:v>
                </c:pt>
                <c:pt idx="71">
                  <c:v>3/25/2021</c:v>
                </c:pt>
                <c:pt idx="72">
                  <c:v>3/22/2021</c:v>
                </c:pt>
                <c:pt idx="73">
                  <c:v>3/25/2021</c:v>
                </c:pt>
                <c:pt idx="74">
                  <c:v>3/26/2021</c:v>
                </c:pt>
                <c:pt idx="75">
                  <c:v>3/26/2021</c:v>
                </c:pt>
                <c:pt idx="76">
                  <c:v>3/23/2021</c:v>
                </c:pt>
                <c:pt idx="77">
                  <c:v>3/29/2021</c:v>
                </c:pt>
                <c:pt idx="78">
                  <c:v>3/29/2021</c:v>
                </c:pt>
                <c:pt idx="79">
                  <c:v>3/30/2021</c:v>
                </c:pt>
                <c:pt idx="80">
                  <c:v>4/1/2021</c:v>
                </c:pt>
                <c:pt idx="81">
                  <c:v>4/1/2021</c:v>
                </c:pt>
                <c:pt idx="82">
                  <c:v>3/29/2021</c:v>
                </c:pt>
                <c:pt idx="83">
                  <c:v>3/24/2021</c:v>
                </c:pt>
                <c:pt idx="84">
                  <c:v>3/31/2021</c:v>
                </c:pt>
                <c:pt idx="85">
                  <c:v>4/2/2021</c:v>
                </c:pt>
                <c:pt idx="86">
                  <c:v>4/2/2021</c:v>
                </c:pt>
                <c:pt idx="87">
                  <c:v>4/7/2021</c:v>
                </c:pt>
                <c:pt idx="88">
                  <c:v>4/5/2021</c:v>
                </c:pt>
                <c:pt idx="89">
                  <c:v>4/6/2021</c:v>
                </c:pt>
                <c:pt idx="90">
                  <c:v>4/7/2021</c:v>
                </c:pt>
                <c:pt idx="91">
                  <c:v>4/6/2021</c:v>
                </c:pt>
                <c:pt idx="92">
                  <c:v>4/8/2021</c:v>
                </c:pt>
                <c:pt idx="93">
                  <c:v>4/9/2021</c:v>
                </c:pt>
                <c:pt idx="94">
                  <c:v>1/14/2021</c:v>
                </c:pt>
                <c:pt idx="95">
                  <c:v>4/9/2021</c:v>
                </c:pt>
                <c:pt idx="96">
                  <c:v>2/1/2021</c:v>
                </c:pt>
                <c:pt idx="97">
                  <c:v>4/12/2021</c:v>
                </c:pt>
                <c:pt idx="98">
                  <c:v>4/8/2021</c:v>
                </c:pt>
                <c:pt idx="99">
                  <c:v>4/13/2021</c:v>
                </c:pt>
                <c:pt idx="100">
                  <c:v>4/13/2021</c:v>
                </c:pt>
                <c:pt idx="101">
                  <c:v>4/12/2021</c:v>
                </c:pt>
                <c:pt idx="102">
                  <c:v>4/14/2021</c:v>
                </c:pt>
                <c:pt idx="103">
                  <c:v>4/12/2021</c:v>
                </c:pt>
                <c:pt idx="104">
                  <c:v>4/12/2021</c:v>
                </c:pt>
                <c:pt idx="105">
                  <c:v>4/13/2021</c:v>
                </c:pt>
                <c:pt idx="106">
                  <c:v>4/15/2021</c:v>
                </c:pt>
                <c:pt idx="107">
                  <c:v>4/15/2021</c:v>
                </c:pt>
                <c:pt idx="108">
                  <c:v>4/14/2021</c:v>
                </c:pt>
                <c:pt idx="109">
                  <c:v>4/16/2021</c:v>
                </c:pt>
                <c:pt idx="110">
                  <c:v>4/20/2021</c:v>
                </c:pt>
                <c:pt idx="111">
                  <c:v>4/19/2021</c:v>
                </c:pt>
                <c:pt idx="112">
                  <c:v>4/21/2021</c:v>
                </c:pt>
                <c:pt idx="113">
                  <c:v>4/20/2021</c:v>
                </c:pt>
                <c:pt idx="114">
                  <c:v>4/16/2021</c:v>
                </c:pt>
                <c:pt idx="115">
                  <c:v>4/19/2021</c:v>
                </c:pt>
                <c:pt idx="116">
                  <c:v>4/23/2021</c:v>
                </c:pt>
                <c:pt idx="117">
                  <c:v>4/19/2021</c:v>
                </c:pt>
                <c:pt idx="118">
                  <c:v>5/3/2021</c:v>
                </c:pt>
                <c:pt idx="119">
                  <c:v>5/3/2021</c:v>
                </c:pt>
                <c:pt idx="120">
                  <c:v>4/28/2021</c:v>
                </c:pt>
                <c:pt idx="121">
                  <c:v>5/3/2021</c:v>
                </c:pt>
                <c:pt idx="122">
                  <c:v>4/20/2021</c:v>
                </c:pt>
                <c:pt idx="123">
                  <c:v>4/26/2021</c:v>
                </c:pt>
                <c:pt idx="124">
                  <c:v>4/27/2021</c:v>
                </c:pt>
                <c:pt idx="125">
                  <c:v>4/26/2021</c:v>
                </c:pt>
                <c:pt idx="126">
                  <c:v>4/14/2021</c:v>
                </c:pt>
                <c:pt idx="127">
                  <c:v>4/21/2021</c:v>
                </c:pt>
                <c:pt idx="128">
                  <c:v>5/10/2021</c:v>
                </c:pt>
                <c:pt idx="129">
                  <c:v>5/12/2021</c:v>
                </c:pt>
                <c:pt idx="130">
                  <c:v>5/14/2021</c:v>
                </c:pt>
                <c:pt idx="131">
                  <c:v>5/13/2021</c:v>
                </c:pt>
                <c:pt idx="132">
                  <c:v>5/10/2021</c:v>
                </c:pt>
                <c:pt idx="133">
                  <c:v>5/10/2021</c:v>
                </c:pt>
                <c:pt idx="134">
                  <c:v>5/12/2021</c:v>
                </c:pt>
                <c:pt idx="135">
                  <c:v>5/14/2021</c:v>
                </c:pt>
                <c:pt idx="136">
                  <c:v>5/18/2021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5/20/2021</c:v>
                </c:pt>
                <c:pt idx="140">
                  <c:v>5/19/2021</c:v>
                </c:pt>
                <c:pt idx="141">
                  <c:v>5/13/2021</c:v>
                </c:pt>
                <c:pt idx="142">
                  <c:v>5/19/2021</c:v>
                </c:pt>
                <c:pt idx="143">
                  <c:v>5/24/2021</c:v>
                </c:pt>
                <c:pt idx="144">
                  <c:v>5/24/2021</c:v>
                </c:pt>
                <c:pt idx="145">
                  <c:v>5/24/2021</c:v>
                </c:pt>
                <c:pt idx="146">
                  <c:v>5/10/2021</c:v>
                </c:pt>
                <c:pt idx="147">
                  <c:v>5/26/2021</c:v>
                </c:pt>
                <c:pt idx="148">
                  <c:v>5/24/2021</c:v>
                </c:pt>
                <c:pt idx="149">
                  <c:v>5/28/2021</c:v>
                </c:pt>
                <c:pt idx="150">
                  <c:v>5/24/2021</c:v>
                </c:pt>
                <c:pt idx="151">
                  <c:v>5/24/2021</c:v>
                </c:pt>
                <c:pt idx="152">
                  <c:v>4/19/2021</c:v>
                </c:pt>
                <c:pt idx="153">
                  <c:v>6/2/2021</c:v>
                </c:pt>
                <c:pt idx="154">
                  <c:v>5/28/2021</c:v>
                </c:pt>
                <c:pt idx="155">
                  <c:v>6/1/2021</c:v>
                </c:pt>
                <c:pt idx="156">
                  <c:v>6/4/2021</c:v>
                </c:pt>
                <c:pt idx="157">
                  <c:v>6/1/2021</c:v>
                </c:pt>
                <c:pt idx="158">
                  <c:v>6/3/2021</c:v>
                </c:pt>
                <c:pt idx="159">
                  <c:v>6/1/2021</c:v>
                </c:pt>
                <c:pt idx="160">
                  <c:v>6/1/2021</c:v>
                </c:pt>
                <c:pt idx="161">
                  <c:v>6/7/2021</c:v>
                </c:pt>
                <c:pt idx="162">
                  <c:v>6/9/2021</c:v>
                </c:pt>
                <c:pt idx="163">
                  <c:v>6/7/2021</c:v>
                </c:pt>
                <c:pt idx="164">
                  <c:v>6/11/2021</c:v>
                </c:pt>
                <c:pt idx="165">
                  <c:v>6/10/2021</c:v>
                </c:pt>
                <c:pt idx="166">
                  <c:v>6/15/2021</c:v>
                </c:pt>
                <c:pt idx="167">
                  <c:v>6/14/2021</c:v>
                </c:pt>
                <c:pt idx="168">
                  <c:v>6/14/2021</c:v>
                </c:pt>
                <c:pt idx="169">
                  <c:v>6/16/2021</c:v>
                </c:pt>
                <c:pt idx="170">
                  <c:v>6/15/2021</c:v>
                </c:pt>
                <c:pt idx="171">
                  <c:v>6/18/2021</c:v>
                </c:pt>
                <c:pt idx="172">
                  <c:v>6/21/2021</c:v>
                </c:pt>
                <c:pt idx="173">
                  <c:v>6/21/2021</c:v>
                </c:pt>
                <c:pt idx="174">
                  <c:v>6/25/2021</c:v>
                </c:pt>
                <c:pt idx="175">
                  <c:v>6/24/2021</c:v>
                </c:pt>
                <c:pt idx="176">
                  <c:v>6/24/2021</c:v>
                </c:pt>
                <c:pt idx="177">
                  <c:v>6/29/2021</c:v>
                </c:pt>
                <c:pt idx="178">
                  <c:v>6/28/2021</c:v>
                </c:pt>
                <c:pt idx="179">
                  <c:v>6/30/2021</c:v>
                </c:pt>
                <c:pt idx="180">
                  <c:v>7/6/2021</c:v>
                </c:pt>
                <c:pt idx="181">
                  <c:v>6/28/2021</c:v>
                </c:pt>
                <c:pt idx="182">
                  <c:v>6/28/2021</c:v>
                </c:pt>
                <c:pt idx="183">
                  <c:v>7/16/2021</c:v>
                </c:pt>
                <c:pt idx="184">
                  <c:v>6/24/2021</c:v>
                </c:pt>
                <c:pt idx="185">
                  <c:v>7/8/2021</c:v>
                </c:pt>
                <c:pt idx="186">
                  <c:v>7/8/2021</c:v>
                </c:pt>
                <c:pt idx="187">
                  <c:v>7/15/2021</c:v>
                </c:pt>
                <c:pt idx="188">
                  <c:v>7/9/2021</c:v>
                </c:pt>
                <c:pt idx="189">
                  <c:v>6/28/2021</c:v>
                </c:pt>
                <c:pt idx="190">
                  <c:v>5/6/2021</c:v>
                </c:pt>
                <c:pt idx="191">
                  <c:v>7/6/2021</c:v>
                </c:pt>
                <c:pt idx="192">
                  <c:v>7/12/2021</c:v>
                </c:pt>
                <c:pt idx="193">
                  <c:v>6/30/2021</c:v>
                </c:pt>
                <c:pt idx="194">
                  <c:v>7/6/2021</c:v>
                </c:pt>
                <c:pt idx="195">
                  <c:v>3/29/2021</c:v>
                </c:pt>
                <c:pt idx="196">
                  <c:v>6/11/2021</c:v>
                </c:pt>
                <c:pt idx="197">
                  <c:v>7/27/2021</c:v>
                </c:pt>
                <c:pt idx="198">
                  <c:v>7/27/2021</c:v>
                </c:pt>
                <c:pt idx="199">
                  <c:v>7/15/2021</c:v>
                </c:pt>
                <c:pt idx="200">
                  <c:v>7/12/2021</c:v>
                </c:pt>
                <c:pt idx="201">
                  <c:v>7/26/2021</c:v>
                </c:pt>
                <c:pt idx="202">
                  <c:v>7/19/2021</c:v>
                </c:pt>
                <c:pt idx="203">
                  <c:v>7/7/2021</c:v>
                </c:pt>
                <c:pt idx="204">
                  <c:v>7/30/2021</c:v>
                </c:pt>
                <c:pt idx="205">
                  <c:v>7/9/2021</c:v>
                </c:pt>
                <c:pt idx="206">
                  <c:v>7/9/2021</c:v>
                </c:pt>
                <c:pt idx="207">
                  <c:v>8/2/2021</c:v>
                </c:pt>
                <c:pt idx="208">
                  <c:v>8/2/2021</c:v>
                </c:pt>
                <c:pt idx="209">
                  <c:v>8/2/2021</c:v>
                </c:pt>
                <c:pt idx="210">
                  <c:v>8/4/2021</c:v>
                </c:pt>
                <c:pt idx="211">
                  <c:v>8/2/2021</c:v>
                </c:pt>
                <c:pt idx="212">
                  <c:v>8/6/2021</c:v>
                </c:pt>
                <c:pt idx="213">
                  <c:v>8/6/2021</c:v>
                </c:pt>
                <c:pt idx="214">
                  <c:v>8/2/2021</c:v>
                </c:pt>
                <c:pt idx="215">
                  <c:v>7/29/2021</c:v>
                </c:pt>
                <c:pt idx="216">
                  <c:v>8/3/2021</c:v>
                </c:pt>
                <c:pt idx="217">
                  <c:v>8/6/2021</c:v>
                </c:pt>
                <c:pt idx="218">
                  <c:v>8/9/2021</c:v>
                </c:pt>
                <c:pt idx="219">
                  <c:v>8/9/2021</c:v>
                </c:pt>
                <c:pt idx="220">
                  <c:v>8/5/2021</c:v>
                </c:pt>
                <c:pt idx="221">
                  <c:v>7/28/2021</c:v>
                </c:pt>
                <c:pt idx="222">
                  <c:v>8/16/2021</c:v>
                </c:pt>
                <c:pt idx="223">
                  <c:v>8/16/2021</c:v>
                </c:pt>
                <c:pt idx="224">
                  <c:v>8/18/2021</c:v>
                </c:pt>
                <c:pt idx="225">
                  <c:v>8/9/2021</c:v>
                </c:pt>
                <c:pt idx="226">
                  <c:v>8/16/2021</c:v>
                </c:pt>
                <c:pt idx="227">
                  <c:v>8/23/2021</c:v>
                </c:pt>
                <c:pt idx="228">
                  <c:v>8/19/2021</c:v>
                </c:pt>
                <c:pt idx="229">
                  <c:v>8/20/2021</c:v>
                </c:pt>
                <c:pt idx="230">
                  <c:v>8/23/2021</c:v>
                </c:pt>
                <c:pt idx="231">
                  <c:v>7/30/2021</c:v>
                </c:pt>
                <c:pt idx="232">
                  <c:v>8/11/2021</c:v>
                </c:pt>
                <c:pt idx="233">
                  <c:v>8/9/2021</c:v>
                </c:pt>
                <c:pt idx="234">
                  <c:v>unknown </c:v>
                </c:pt>
                <c:pt idx="235">
                  <c:v>8/20/2021</c:v>
                </c:pt>
                <c:pt idx="236">
                  <c:v>8/26/2021</c:v>
                </c:pt>
                <c:pt idx="237">
                  <c:v>8/23/2021</c:v>
                </c:pt>
                <c:pt idx="238">
                  <c:v>9/1/2021</c:v>
                </c:pt>
                <c:pt idx="239">
                  <c:v>9/3/2021</c:v>
                </c:pt>
                <c:pt idx="240">
                  <c:v>9/1/2021</c:v>
                </c:pt>
                <c:pt idx="241">
                  <c:v>9/1/2021</c:v>
                </c:pt>
                <c:pt idx="242">
                  <c:v>8/24/2021</c:v>
                </c:pt>
                <c:pt idx="243">
                  <c:v>8/25/2021</c:v>
                </c:pt>
                <c:pt idx="244">
                  <c:v>9/6/2021</c:v>
                </c:pt>
                <c:pt idx="245">
                  <c:v>8/30/2021</c:v>
                </c:pt>
                <c:pt idx="246">
                  <c:v>9/10/2021</c:v>
                </c:pt>
                <c:pt idx="247">
                  <c:v>9/13/2021</c:v>
                </c:pt>
                <c:pt idx="248">
                  <c:v>9/14/2021</c:v>
                </c:pt>
                <c:pt idx="249">
                  <c:v>9/7/2021</c:v>
                </c:pt>
                <c:pt idx="250">
                  <c:v>9/9/2021</c:v>
                </c:pt>
                <c:pt idx="251">
                  <c:v>9/16/2021</c:v>
                </c:pt>
                <c:pt idx="252">
                  <c:v>9/3/2021</c:v>
                </c:pt>
                <c:pt idx="253">
                  <c:v>9/16/2021</c:v>
                </c:pt>
                <c:pt idx="254">
                  <c:v>9/15/2021</c:v>
                </c:pt>
                <c:pt idx="255">
                  <c:v>9/20/2021</c:v>
                </c:pt>
                <c:pt idx="256">
                  <c:v>9/23/2021</c:v>
                </c:pt>
                <c:pt idx="257">
                  <c:v>9/22/2021</c:v>
                </c:pt>
                <c:pt idx="258">
                  <c:v>9/30/2021</c:v>
                </c:pt>
                <c:pt idx="259">
                  <c:v>9/28/2021</c:v>
                </c:pt>
                <c:pt idx="260">
                  <c:v>9/28/2021</c:v>
                </c:pt>
                <c:pt idx="261">
                  <c:v>9/28/2021</c:v>
                </c:pt>
                <c:pt idx="262">
                  <c:v>9/28/2021</c:v>
                </c:pt>
                <c:pt idx="263">
                  <c:v>9/2/2021</c:v>
                </c:pt>
                <c:pt idx="264">
                  <c:v>10/1/2021</c:v>
                </c:pt>
                <c:pt idx="265">
                  <c:v>9/16/2021</c:v>
                </c:pt>
                <c:pt idx="266">
                  <c:v>9/29/2021</c:v>
                </c:pt>
                <c:pt idx="267">
                  <c:v>10/1/2021</c:v>
                </c:pt>
                <c:pt idx="268">
                  <c:v>10/4/2021</c:v>
                </c:pt>
                <c:pt idx="269">
                  <c:v>10/11/2021</c:v>
                </c:pt>
                <c:pt idx="270">
                  <c:v>10/8/2021</c:v>
                </c:pt>
                <c:pt idx="271">
                  <c:v>10/4/2021</c:v>
                </c:pt>
                <c:pt idx="272">
                  <c:v>10/4/2021</c:v>
                </c:pt>
                <c:pt idx="273">
                  <c:v>10/12/2021</c:v>
                </c:pt>
                <c:pt idx="274">
                  <c:v>10/14/2021</c:v>
                </c:pt>
                <c:pt idx="275">
                  <c:v>10/15/2021</c:v>
                </c:pt>
                <c:pt idx="276">
                  <c:v>10/11/2021</c:v>
                </c:pt>
                <c:pt idx="277">
                  <c:v>10/11/2021</c:v>
                </c:pt>
                <c:pt idx="278">
                  <c:v>10/13/2021</c:v>
                </c:pt>
                <c:pt idx="279">
                  <c:v>10/11/2021</c:v>
                </c:pt>
                <c:pt idx="280">
                  <c:v>10/11/2021</c:v>
                </c:pt>
                <c:pt idx="281">
                  <c:v>10/14/2021</c:v>
                </c:pt>
                <c:pt idx="282">
                  <c:v>10/26/2021</c:v>
                </c:pt>
                <c:pt idx="283">
                  <c:v>10/21/2021</c:v>
                </c:pt>
                <c:pt idx="284">
                  <c:v>10/22/2021</c:v>
                </c:pt>
                <c:pt idx="285">
                  <c:v>10/19/2021</c:v>
                </c:pt>
                <c:pt idx="286">
                  <c:v>9/13/2021</c:v>
                </c:pt>
                <c:pt idx="287">
                  <c:v>10/28/2021</c:v>
                </c:pt>
                <c:pt idx="288">
                  <c:v>10/28/2021</c:v>
                </c:pt>
                <c:pt idx="289">
                  <c:v>10/28/2021</c:v>
                </c:pt>
                <c:pt idx="290">
                  <c:v>10/6/2021</c:v>
                </c:pt>
                <c:pt idx="291">
                  <c:v>10/26/2021</c:v>
                </c:pt>
                <c:pt idx="292">
                  <c:v>10/28/2021</c:v>
                </c:pt>
                <c:pt idx="293">
                  <c:v>10/25/2021</c:v>
                </c:pt>
                <c:pt idx="294">
                  <c:v>10/28/2021</c:v>
                </c:pt>
                <c:pt idx="295">
                  <c:v>10/29/2021</c:v>
                </c:pt>
                <c:pt idx="296">
                  <c:v>11/2/2021</c:v>
                </c:pt>
                <c:pt idx="297">
                  <c:v>11/4/2021</c:v>
                </c:pt>
                <c:pt idx="298">
                  <c:v>8/30/2021</c:v>
                </c:pt>
                <c:pt idx="299">
                  <c:v>11/1/2021</c:v>
                </c:pt>
                <c:pt idx="300">
                  <c:v>11/1/2021</c:v>
                </c:pt>
                <c:pt idx="301">
                  <c:v>10/26/2021</c:v>
                </c:pt>
                <c:pt idx="302">
                  <c:v>9/13/2021</c:v>
                </c:pt>
                <c:pt idx="303">
                  <c:v>10/4/2021</c:v>
                </c:pt>
                <c:pt idx="304">
                  <c:v>9/30/2021</c:v>
                </c:pt>
                <c:pt idx="305">
                  <c:v>9/20/2021</c:v>
                </c:pt>
                <c:pt idx="306">
                  <c:v>9/17/2021</c:v>
                </c:pt>
                <c:pt idx="307">
                  <c:v>9/13/2021</c:v>
                </c:pt>
                <c:pt idx="308">
                  <c:v>11/3/2021</c:v>
                </c:pt>
                <c:pt idx="309">
                  <c:v>11/3/2021</c:v>
                </c:pt>
                <c:pt idx="310">
                  <c:v>11/3/2021</c:v>
                </c:pt>
                <c:pt idx="311">
                  <c:v>11/3/2021</c:v>
                </c:pt>
                <c:pt idx="312">
                  <c:v>11/8/2021</c:v>
                </c:pt>
                <c:pt idx="313">
                  <c:v>11/12/2021</c:v>
                </c:pt>
                <c:pt idx="314">
                  <c:v>11/15/2021</c:v>
                </c:pt>
                <c:pt idx="315">
                  <c:v>11/17/2021</c:v>
                </c:pt>
                <c:pt idx="316">
                  <c:v>11/22/2021</c:v>
                </c:pt>
                <c:pt idx="317">
                  <c:v>11/17/2021</c:v>
                </c:pt>
                <c:pt idx="318">
                  <c:v>11/24/2021</c:v>
                </c:pt>
                <c:pt idx="319">
                  <c:v>11/24/2021</c:v>
                </c:pt>
                <c:pt idx="320">
                  <c:v>12/1/2021</c:v>
                </c:pt>
                <c:pt idx="321">
                  <c:v>11/29/2021</c:v>
                </c:pt>
                <c:pt idx="322">
                  <c:v>11/30/2021</c:v>
                </c:pt>
                <c:pt idx="323">
                  <c:v>12/1/2021</c:v>
                </c:pt>
                <c:pt idx="324">
                  <c:v>12/3/2021</c:v>
                </c:pt>
                <c:pt idx="325">
                  <c:v>12/3/2021</c:v>
                </c:pt>
                <c:pt idx="326">
                  <c:v>11/30/2021</c:v>
                </c:pt>
                <c:pt idx="327">
                  <c:v>12/7/2021</c:v>
                </c:pt>
                <c:pt idx="328">
                  <c:v>12/7/2021</c:v>
                </c:pt>
                <c:pt idx="329">
                  <c:v>12/8/2021</c:v>
                </c:pt>
                <c:pt idx="330">
                  <c:v>12/10/2021</c:v>
                </c:pt>
                <c:pt idx="331">
                  <c:v>12/10/2021</c:v>
                </c:pt>
                <c:pt idx="332">
                  <c:v>12/14/2021</c:v>
                </c:pt>
                <c:pt idx="333">
                  <c:v>12/16/2021</c:v>
                </c:pt>
                <c:pt idx="334">
                  <c:v>12/22/2021</c:v>
                </c:pt>
                <c:pt idx="335">
                  <c:v>12/17/2021</c:v>
                </c:pt>
                <c:pt idx="336">
                  <c:v>12/17/2021</c:v>
                </c:pt>
                <c:pt idx="337">
                  <c:v>12/14/2021</c:v>
                </c:pt>
                <c:pt idx="338">
                  <c:v>12/22/2021</c:v>
                </c:pt>
                <c:pt idx="339">
                  <c:v>12/23/2021</c:v>
                </c:pt>
                <c:pt idx="340">
                  <c:v>12/30/2021</c:v>
                </c:pt>
                <c:pt idx="341">
                  <c:v>12/30/2021</c:v>
                </c:pt>
                <c:pt idx="342">
                  <c:v>12/30/2021</c:v>
                </c:pt>
                <c:pt idx="343">
                  <c:v>1/6/2022</c:v>
                </c:pt>
                <c:pt idx="344">
                  <c:v>1/7/2022</c:v>
                </c:pt>
                <c:pt idx="345">
                  <c:v>1/7/2022</c:v>
                </c:pt>
                <c:pt idx="346">
                  <c:v>1/14/2022</c:v>
                </c:pt>
                <c:pt idx="347">
                  <c:v>1/7/2022</c:v>
                </c:pt>
                <c:pt idx="348">
                  <c:v>1/14/2022</c:v>
                </c:pt>
                <c:pt idx="349">
                  <c:v>1/21/2022</c:v>
                </c:pt>
                <c:pt idx="350">
                  <c:v>1/21/2022</c:v>
                </c:pt>
                <c:pt idx="351">
                  <c:v>1/28/2022</c:v>
                </c:pt>
                <c:pt idx="352">
                  <c:v>1/28/2022</c:v>
                </c:pt>
                <c:pt idx="353">
                  <c:v>2/1/2022</c:v>
                </c:pt>
                <c:pt idx="354">
                  <c:v>2/2/2022</c:v>
                </c:pt>
                <c:pt idx="355">
                  <c:v>1/25/2022</c:v>
                </c:pt>
                <c:pt idx="356">
                  <c:v>2/9/2022</c:v>
                </c:pt>
                <c:pt idx="357">
                  <c:v>2/9/2022</c:v>
                </c:pt>
                <c:pt idx="358">
                  <c:v>2/9/2022</c:v>
                </c:pt>
                <c:pt idx="359">
                  <c:v>2/11/2022</c:v>
                </c:pt>
                <c:pt idx="360">
                  <c:v>2/11/2022</c:v>
                </c:pt>
                <c:pt idx="361">
                  <c:v>2/21/2022</c:v>
                </c:pt>
                <c:pt idx="362">
                  <c:v>2/21/2022</c:v>
                </c:pt>
                <c:pt idx="363">
                  <c:v>2/18/2022</c:v>
                </c:pt>
                <c:pt idx="364">
                  <c:v>2/18/2022</c:v>
                </c:pt>
                <c:pt idx="365">
                  <c:v>1/26/2022</c:v>
                </c:pt>
              </c:strCache>
            </c:strRef>
          </c:cat>
          <c:val>
            <c:numRef>
              <c:f>Finished_Jobs!$AC$1:$AC$367</c:f>
              <c:numCache>
                <c:formatCode>General</c:formatCode>
                <c:ptCount val="3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83-7C49-83FF-B01D043E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175151"/>
        <c:axId val="440023503"/>
      </c:lineChart>
      <c:catAx>
        <c:axId val="44017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3503"/>
        <c:crosses val="autoZero"/>
        <c:auto val="1"/>
        <c:lblAlgn val="ctr"/>
        <c:lblOffset val="100"/>
        <c:noMultiLvlLbl val="1"/>
      </c:catAx>
      <c:valAx>
        <c:axId val="4400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Profit by Sales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19053789162428E-2"/>
          <c:y val="0.15661549184342388"/>
          <c:w val="0.9062362204724409"/>
          <c:h val="0.830250536864710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Finished_Jobs!$AA$1</c:f>
              <c:strCache>
                <c:ptCount val="1"/>
                <c:pt idx="0">
                  <c:v>Perc_Profit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Finished_Jobs!$E$2:$E$103</c:f>
              <c:numCache>
                <c:formatCode>General</c:formatCode>
                <c:ptCount val="102"/>
                <c:pt idx="0">
                  <c:v>1807</c:v>
                </c:pt>
                <c:pt idx="1">
                  <c:v>3363</c:v>
                </c:pt>
                <c:pt idx="2">
                  <c:v>2900</c:v>
                </c:pt>
                <c:pt idx="3">
                  <c:v>6971</c:v>
                </c:pt>
                <c:pt idx="4">
                  <c:v>400</c:v>
                </c:pt>
                <c:pt idx="5">
                  <c:v>4840</c:v>
                </c:pt>
                <c:pt idx="6">
                  <c:v>892</c:v>
                </c:pt>
                <c:pt idx="7">
                  <c:v>6263.1</c:v>
                </c:pt>
                <c:pt idx="8">
                  <c:v>7581</c:v>
                </c:pt>
                <c:pt idx="9">
                  <c:v>1440</c:v>
                </c:pt>
                <c:pt idx="10">
                  <c:v>3126</c:v>
                </c:pt>
                <c:pt idx="11">
                  <c:v>970</c:v>
                </c:pt>
                <c:pt idx="12">
                  <c:v>695</c:v>
                </c:pt>
                <c:pt idx="13">
                  <c:v>5788</c:v>
                </c:pt>
                <c:pt idx="14">
                  <c:v>750</c:v>
                </c:pt>
                <c:pt idx="15">
                  <c:v>625</c:v>
                </c:pt>
                <c:pt idx="16">
                  <c:v>3200</c:v>
                </c:pt>
                <c:pt idx="17">
                  <c:v>7800</c:v>
                </c:pt>
                <c:pt idx="18">
                  <c:v>3094</c:v>
                </c:pt>
                <c:pt idx="19">
                  <c:v>1758</c:v>
                </c:pt>
                <c:pt idx="20">
                  <c:v>4000</c:v>
                </c:pt>
                <c:pt idx="21">
                  <c:v>2009</c:v>
                </c:pt>
                <c:pt idx="22">
                  <c:v>2270</c:v>
                </c:pt>
                <c:pt idx="23">
                  <c:v>630</c:v>
                </c:pt>
                <c:pt idx="24">
                  <c:v>950</c:v>
                </c:pt>
                <c:pt idx="25">
                  <c:v>4956</c:v>
                </c:pt>
                <c:pt idx="26">
                  <c:v>4060</c:v>
                </c:pt>
                <c:pt idx="27">
                  <c:v>11235</c:v>
                </c:pt>
                <c:pt idx="28">
                  <c:v>859</c:v>
                </c:pt>
                <c:pt idx="29">
                  <c:v>2560</c:v>
                </c:pt>
                <c:pt idx="30">
                  <c:v>2308.5</c:v>
                </c:pt>
                <c:pt idx="31">
                  <c:v>1451</c:v>
                </c:pt>
                <c:pt idx="32">
                  <c:v>2217</c:v>
                </c:pt>
                <c:pt idx="33">
                  <c:v>427</c:v>
                </c:pt>
                <c:pt idx="34">
                  <c:v>716</c:v>
                </c:pt>
                <c:pt idx="35">
                  <c:v>764</c:v>
                </c:pt>
                <c:pt idx="36">
                  <c:v>13700</c:v>
                </c:pt>
                <c:pt idx="37">
                  <c:v>2475</c:v>
                </c:pt>
                <c:pt idx="38">
                  <c:v>1500</c:v>
                </c:pt>
                <c:pt idx="39">
                  <c:v>634</c:v>
                </c:pt>
                <c:pt idx="40">
                  <c:v>315</c:v>
                </c:pt>
                <c:pt idx="41">
                  <c:v>3985</c:v>
                </c:pt>
                <c:pt idx="42">
                  <c:v>2793</c:v>
                </c:pt>
                <c:pt idx="43">
                  <c:v>1650</c:v>
                </c:pt>
                <c:pt idx="44">
                  <c:v>802.80000000000007</c:v>
                </c:pt>
                <c:pt idx="45">
                  <c:v>610</c:v>
                </c:pt>
                <c:pt idx="46">
                  <c:v>1292</c:v>
                </c:pt>
                <c:pt idx="47">
                  <c:v>2440.8000000000002</c:v>
                </c:pt>
                <c:pt idx="48">
                  <c:v>362</c:v>
                </c:pt>
                <c:pt idx="49">
                  <c:v>2665</c:v>
                </c:pt>
                <c:pt idx="50">
                  <c:v>3683</c:v>
                </c:pt>
                <c:pt idx="51">
                  <c:v>4973</c:v>
                </c:pt>
                <c:pt idx="52">
                  <c:v>840</c:v>
                </c:pt>
                <c:pt idx="53">
                  <c:v>300</c:v>
                </c:pt>
                <c:pt idx="54">
                  <c:v>2700</c:v>
                </c:pt>
                <c:pt idx="55">
                  <c:v>1620</c:v>
                </c:pt>
                <c:pt idx="56">
                  <c:v>4875.3999999999996</c:v>
                </c:pt>
                <c:pt idx="57">
                  <c:v>4013</c:v>
                </c:pt>
                <c:pt idx="58">
                  <c:v>951</c:v>
                </c:pt>
                <c:pt idx="59">
                  <c:v>879</c:v>
                </c:pt>
                <c:pt idx="60">
                  <c:v>2805</c:v>
                </c:pt>
                <c:pt idx="61">
                  <c:v>4775</c:v>
                </c:pt>
                <c:pt idx="62">
                  <c:v>4780</c:v>
                </c:pt>
                <c:pt idx="63">
                  <c:v>727</c:v>
                </c:pt>
                <c:pt idx="64">
                  <c:v>3353.4</c:v>
                </c:pt>
                <c:pt idx="65">
                  <c:v>1138</c:v>
                </c:pt>
                <c:pt idx="66">
                  <c:v>720</c:v>
                </c:pt>
                <c:pt idx="67">
                  <c:v>1750</c:v>
                </c:pt>
                <c:pt idx="68">
                  <c:v>1725</c:v>
                </c:pt>
                <c:pt idx="69">
                  <c:v>9500</c:v>
                </c:pt>
                <c:pt idx="70">
                  <c:v>1346</c:v>
                </c:pt>
                <c:pt idx="71">
                  <c:v>1087</c:v>
                </c:pt>
                <c:pt idx="72">
                  <c:v>3961</c:v>
                </c:pt>
                <c:pt idx="73">
                  <c:v>1500</c:v>
                </c:pt>
                <c:pt idx="74">
                  <c:v>2363</c:v>
                </c:pt>
                <c:pt idx="75">
                  <c:v>3000</c:v>
                </c:pt>
                <c:pt idx="76">
                  <c:v>325</c:v>
                </c:pt>
                <c:pt idx="77">
                  <c:v>2100</c:v>
                </c:pt>
                <c:pt idx="78">
                  <c:v>670</c:v>
                </c:pt>
                <c:pt idx="79">
                  <c:v>253</c:v>
                </c:pt>
                <c:pt idx="80">
                  <c:v>1350</c:v>
                </c:pt>
                <c:pt idx="81">
                  <c:v>4369</c:v>
                </c:pt>
                <c:pt idx="82">
                  <c:v>2940</c:v>
                </c:pt>
                <c:pt idx="83">
                  <c:v>1380</c:v>
                </c:pt>
                <c:pt idx="84">
                  <c:v>275</c:v>
                </c:pt>
                <c:pt idx="85">
                  <c:v>2313</c:v>
                </c:pt>
                <c:pt idx="86">
                  <c:v>3689</c:v>
                </c:pt>
                <c:pt idx="87">
                  <c:v>766</c:v>
                </c:pt>
                <c:pt idx="88">
                  <c:v>7500</c:v>
                </c:pt>
                <c:pt idx="89">
                  <c:v>5140</c:v>
                </c:pt>
                <c:pt idx="90">
                  <c:v>450</c:v>
                </c:pt>
                <c:pt idx="91">
                  <c:v>1776</c:v>
                </c:pt>
                <c:pt idx="92">
                  <c:v>370</c:v>
                </c:pt>
                <c:pt idx="93">
                  <c:v>3024</c:v>
                </c:pt>
                <c:pt idx="94">
                  <c:v>8250</c:v>
                </c:pt>
                <c:pt idx="95">
                  <c:v>4505</c:v>
                </c:pt>
                <c:pt idx="96">
                  <c:v>710</c:v>
                </c:pt>
                <c:pt idx="97">
                  <c:v>2875</c:v>
                </c:pt>
                <c:pt idx="98">
                  <c:v>2200</c:v>
                </c:pt>
                <c:pt idx="99">
                  <c:v>1508</c:v>
                </c:pt>
                <c:pt idx="100">
                  <c:v>550</c:v>
                </c:pt>
                <c:pt idx="101">
                  <c:v>1093</c:v>
                </c:pt>
              </c:numCache>
            </c:numRef>
          </c:xVal>
          <c:yVal>
            <c:numRef>
              <c:f>Finished_Jobs!$AA$2:$AA$103</c:f>
              <c:numCache>
                <c:formatCode>0%</c:formatCode>
                <c:ptCount val="102"/>
                <c:pt idx="0">
                  <c:v>-9.9169894853347231E-3</c:v>
                </c:pt>
                <c:pt idx="1">
                  <c:v>4.3241153731787114E-2</c:v>
                </c:pt>
                <c:pt idx="2">
                  <c:v>0.38655172413793104</c:v>
                </c:pt>
                <c:pt idx="3">
                  <c:v>0.34820542246449576</c:v>
                </c:pt>
                <c:pt idx="4">
                  <c:v>-6.2500000000000003E-3</c:v>
                </c:pt>
                <c:pt idx="5">
                  <c:v>0.31675619834710744</c:v>
                </c:pt>
                <c:pt idx="6">
                  <c:v>0.14347533632286996</c:v>
                </c:pt>
                <c:pt idx="7">
                  <c:v>0.35343424182912614</c:v>
                </c:pt>
                <c:pt idx="8">
                  <c:v>0.22616277535945126</c:v>
                </c:pt>
                <c:pt idx="9">
                  <c:v>0.33236111111111105</c:v>
                </c:pt>
                <c:pt idx="10">
                  <c:v>0.18670505438259768</c:v>
                </c:pt>
                <c:pt idx="11">
                  <c:v>0.11927835051546384</c:v>
                </c:pt>
                <c:pt idx="12">
                  <c:v>0.34345323741007183</c:v>
                </c:pt>
                <c:pt idx="13">
                  <c:v>9.0794747753973656E-2</c:v>
                </c:pt>
                <c:pt idx="14">
                  <c:v>-2.160000000000006E-2</c:v>
                </c:pt>
                <c:pt idx="15">
                  <c:v>0.3624</c:v>
                </c:pt>
                <c:pt idx="16">
                  <c:v>0.25268749999999995</c:v>
                </c:pt>
                <c:pt idx="17">
                  <c:v>0.23876923076923073</c:v>
                </c:pt>
                <c:pt idx="18">
                  <c:v>0.12946347769877181</c:v>
                </c:pt>
                <c:pt idx="19">
                  <c:v>3.9488054607508573E-2</c:v>
                </c:pt>
                <c:pt idx="20">
                  <c:v>0.20295000000000005</c:v>
                </c:pt>
                <c:pt idx="21">
                  <c:v>-1.6296665007466519E-2</c:v>
                </c:pt>
                <c:pt idx="22">
                  <c:v>0.23511013215859033</c:v>
                </c:pt>
                <c:pt idx="23">
                  <c:v>-7.3492063492063414E-2</c:v>
                </c:pt>
                <c:pt idx="24">
                  <c:v>0.21473684210526317</c:v>
                </c:pt>
                <c:pt idx="25">
                  <c:v>0.18328087167070212</c:v>
                </c:pt>
                <c:pt idx="26">
                  <c:v>0.35519704433497523</c:v>
                </c:pt>
                <c:pt idx="27">
                  <c:v>0.37012906097018244</c:v>
                </c:pt>
                <c:pt idx="28">
                  <c:v>0.10379511059371359</c:v>
                </c:pt>
                <c:pt idx="29">
                  <c:v>0.11394531249999992</c:v>
                </c:pt>
                <c:pt idx="30">
                  <c:v>0.27996101364522413</c:v>
                </c:pt>
                <c:pt idx="31">
                  <c:v>5.5299793246037225E-2</c:v>
                </c:pt>
                <c:pt idx="32">
                  <c:v>0.23197113216057735</c:v>
                </c:pt>
                <c:pt idx="33">
                  <c:v>7.6065573770491848E-2</c:v>
                </c:pt>
                <c:pt idx="34">
                  <c:v>7.6452513966480465E-2</c:v>
                </c:pt>
                <c:pt idx="35">
                  <c:v>9.90314136125654E-2</c:v>
                </c:pt>
                <c:pt idx="36">
                  <c:v>0.17861313868613138</c:v>
                </c:pt>
                <c:pt idx="37">
                  <c:v>-2.4444444444444446E-2</c:v>
                </c:pt>
                <c:pt idx="38">
                  <c:v>0.34799999999999998</c:v>
                </c:pt>
                <c:pt idx="39">
                  <c:v>9.1735015772870618E-2</c:v>
                </c:pt>
                <c:pt idx="40">
                  <c:v>-0.57174603174603178</c:v>
                </c:pt>
                <c:pt idx="41">
                  <c:v>0.29345043914680041</c:v>
                </c:pt>
                <c:pt idx="42">
                  <c:v>0.32754027926960255</c:v>
                </c:pt>
                <c:pt idx="43">
                  <c:v>0.41854545454545455</c:v>
                </c:pt>
                <c:pt idx="44">
                  <c:v>7.7319382162431491E-2</c:v>
                </c:pt>
                <c:pt idx="45">
                  <c:v>0.22852459016393439</c:v>
                </c:pt>
                <c:pt idx="46">
                  <c:v>0.12382352941176472</c:v>
                </c:pt>
                <c:pt idx="47">
                  <c:v>0.22537364798426748</c:v>
                </c:pt>
                <c:pt idx="48">
                  <c:v>0.30298342541436468</c:v>
                </c:pt>
                <c:pt idx="49">
                  <c:v>0.13579737335834899</c:v>
                </c:pt>
                <c:pt idx="50">
                  <c:v>0.18575074667390712</c:v>
                </c:pt>
                <c:pt idx="51">
                  <c:v>0.21842348682887588</c:v>
                </c:pt>
                <c:pt idx="52">
                  <c:v>0.2792857142857143</c:v>
                </c:pt>
                <c:pt idx="53">
                  <c:v>0.20133333333333325</c:v>
                </c:pt>
                <c:pt idx="54">
                  <c:v>0.37722222222222224</c:v>
                </c:pt>
                <c:pt idx="55">
                  <c:v>-4.2283950617283954E-2</c:v>
                </c:pt>
                <c:pt idx="56">
                  <c:v>0.24953767895967502</c:v>
                </c:pt>
                <c:pt idx="57">
                  <c:v>0.36429603787690007</c:v>
                </c:pt>
                <c:pt idx="58">
                  <c:v>0.20161934805467929</c:v>
                </c:pt>
                <c:pt idx="59">
                  <c:v>0.40188850967007961</c:v>
                </c:pt>
                <c:pt idx="60">
                  <c:v>0.2199286987522282</c:v>
                </c:pt>
                <c:pt idx="61">
                  <c:v>0.35099476439790578</c:v>
                </c:pt>
                <c:pt idx="62">
                  <c:v>0.36167364016736403</c:v>
                </c:pt>
                <c:pt idx="63">
                  <c:v>0.34797799174690514</c:v>
                </c:pt>
                <c:pt idx="64">
                  <c:v>0.24041748672988605</c:v>
                </c:pt>
                <c:pt idx="65">
                  <c:v>0.25845342706502639</c:v>
                </c:pt>
                <c:pt idx="66">
                  <c:v>7.5416666666666604E-2</c:v>
                </c:pt>
                <c:pt idx="67">
                  <c:v>0.37771428571428572</c:v>
                </c:pt>
                <c:pt idx="68">
                  <c:v>1.8666666666666692E-2</c:v>
                </c:pt>
                <c:pt idx="69">
                  <c:v>0.15921052631578947</c:v>
                </c:pt>
                <c:pt idx="70">
                  <c:v>0.15924219910846948</c:v>
                </c:pt>
                <c:pt idx="71">
                  <c:v>0.17541858325666967</c:v>
                </c:pt>
                <c:pt idx="72">
                  <c:v>0.1379298157031052</c:v>
                </c:pt>
                <c:pt idx="73">
                  <c:v>0.32386666666666664</c:v>
                </c:pt>
                <c:pt idx="74">
                  <c:v>0.11663986457892504</c:v>
                </c:pt>
                <c:pt idx="75">
                  <c:v>0.34909999999999997</c:v>
                </c:pt>
                <c:pt idx="76">
                  <c:v>0.12461538461538461</c:v>
                </c:pt>
                <c:pt idx="77">
                  <c:v>0.18633333333333332</c:v>
                </c:pt>
                <c:pt idx="78">
                  <c:v>4.7462686567164111E-2</c:v>
                </c:pt>
                <c:pt idx="79">
                  <c:v>5.6600790513833966E-2</c:v>
                </c:pt>
                <c:pt idx="80">
                  <c:v>0.23925925925925925</c:v>
                </c:pt>
                <c:pt idx="81">
                  <c:v>0.14514991989013501</c:v>
                </c:pt>
                <c:pt idx="82">
                  <c:v>0.39010204081632655</c:v>
                </c:pt>
                <c:pt idx="83">
                  <c:v>0.31971014492753624</c:v>
                </c:pt>
                <c:pt idx="84">
                  <c:v>0.13636363636363635</c:v>
                </c:pt>
                <c:pt idx="85">
                  <c:v>0.3377086035451794</c:v>
                </c:pt>
                <c:pt idx="86">
                  <c:v>0.17835727839522908</c:v>
                </c:pt>
                <c:pt idx="87">
                  <c:v>-2.8198433420365118E-3</c:v>
                </c:pt>
                <c:pt idx="88">
                  <c:v>0.35830666666666672</c:v>
                </c:pt>
                <c:pt idx="89">
                  <c:v>0.22155642023346298</c:v>
                </c:pt>
                <c:pt idx="90">
                  <c:v>-0.11333333333333333</c:v>
                </c:pt>
                <c:pt idx="91">
                  <c:v>0.15531531531531526</c:v>
                </c:pt>
                <c:pt idx="92">
                  <c:v>-0.28702702702702698</c:v>
                </c:pt>
                <c:pt idx="93">
                  <c:v>0.38725529100529099</c:v>
                </c:pt>
                <c:pt idx="94">
                  <c:v>2.9478787878787858E-2</c:v>
                </c:pt>
                <c:pt idx="95">
                  <c:v>-9.569367369589353E-2</c:v>
                </c:pt>
                <c:pt idx="96">
                  <c:v>-0.27859154929577473</c:v>
                </c:pt>
                <c:pt idx="97">
                  <c:v>0.2053913043478261</c:v>
                </c:pt>
                <c:pt idx="98">
                  <c:v>7.6318181818181854E-2</c:v>
                </c:pt>
                <c:pt idx="99">
                  <c:v>0.21248010610079582</c:v>
                </c:pt>
                <c:pt idx="100">
                  <c:v>0.30727272727272725</c:v>
                </c:pt>
                <c:pt idx="101">
                  <c:v>0.17183897529734668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5-4342-AE76-9F68FEB5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47055"/>
        <c:axId val="424894671"/>
      </c:scatterChart>
      <c:valAx>
        <c:axId val="42494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0.45123503821099892"/>
              <c:y val="0.6226641377856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94671"/>
        <c:crosses val="autoZero"/>
        <c:crossBetween val="midCat"/>
      </c:valAx>
      <c:valAx>
        <c:axId val="424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Percent Profit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/>
          </a:pPr>
          <a:r>
            <a:rPr lang="en-US" sz="1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Profit Distribution</a:t>
          </a:r>
        </a:p>
      </cx:txPr>
    </cx:title>
    <cx:plotArea>
      <cx:plotAreaRegion>
        <cx:series layoutId="clusteredColumn" uniqueId="{08DF3BDE-0E05-CE4C-B2B9-525CBB91D452}">
          <cx:tx>
            <cx:txData>
              <cx:f>_xlchart.v1.2</cx:f>
              <cx:v>Perc_Profit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Percent Profit by Foreman</cx:v>
        </cx:txData>
      </cx:tx>
      <cx:txPr>
        <a:bodyPr vertOverflow="overflow" horzOverflow="overflow" wrap="square" lIns="0" tIns="0" rIns="0" bIns="0"/>
        <a:lstStyle/>
        <a:p>
          <a:pPr algn="ctr" rtl="0">
            <a:defRPr sz="1500" b="0" i="0" baseline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500" baseline="0"/>
            <a:t>Percent Profit by Foreman</a:t>
          </a:r>
        </a:p>
      </cx:txPr>
    </cx:title>
    <cx:plotArea>
      <cx:plotAreaRegion>
        <cx:series layoutId="boxWhisker" uniqueId="{A124E7B4-6E4C-5746-9D48-B8735FD856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Foreman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Foreman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_xlchart.v1.4</cx:f>
      </cx:numDim>
    </cx:data>
  </cx:chartData>
  <cx:chart>
    <cx:title pos="t" align="ctr" overlay="0">
      <cx:tx>
        <cx:txData>
          <cx:v>Percent Profit by Estimator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 baseline="0"/>
          </a:pPr>
          <a:r>
            <a:rPr lang="en-US" sz="15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Profit by Estimator</a:t>
          </a:r>
        </a:p>
      </cx:txPr>
    </cx:title>
    <cx:plotArea>
      <cx:plotAreaRegion>
        <cx:series layoutId="boxWhisker" uniqueId="{EB29DE9C-1DAC-4A42-A8CE-9A5E0871492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Estimator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5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500" baseline="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152400</xdr:rowOff>
    </xdr:from>
    <xdr:to>
      <xdr:col>6</xdr:col>
      <xdr:colOff>635000</xdr:colOff>
      <xdr:row>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906EE943-9333-F241-9AB2-E8F403132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422900"/>
              <a:ext cx="6435725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76200</xdr:colOff>
      <xdr:row>21</xdr:row>
      <xdr:rowOff>152400</xdr:rowOff>
    </xdr:from>
    <xdr:to>
      <xdr:col>17</xdr:col>
      <xdr:colOff>139700</xdr:colOff>
      <xdr:row>42</xdr:row>
      <xdr:rowOff>139700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BE7CCBB1-2528-1E4C-A4FC-DFF2F02C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43</xdr:row>
      <xdr:rowOff>88900</xdr:rowOff>
    </xdr:from>
    <xdr:to>
      <xdr:col>6</xdr:col>
      <xdr:colOff>647700</xdr:colOff>
      <xdr:row>69</xdr:row>
      <xdr:rowOff>25400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C2F2F9DC-A93A-8B47-B8A4-FB09DDA5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88900</xdr:colOff>
      <xdr:row>43</xdr:row>
      <xdr:rowOff>127000</xdr:rowOff>
    </xdr:from>
    <xdr:to>
      <xdr:col>17</xdr:col>
      <xdr:colOff>165100</xdr:colOff>
      <xdr:row>68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13">
              <a:extLst>
                <a:ext uri="{FF2B5EF4-FFF2-40B4-BE49-F238E27FC236}">
                  <a16:creationId xmlns:a16="http://schemas.microsoft.com/office/drawing/2014/main" id="{DBCE4A9D-B9B5-5747-AB31-4F4E942180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3375" y="9871075"/>
              <a:ext cx="8909050" cy="504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70</xdr:row>
      <xdr:rowOff>25400</xdr:rowOff>
    </xdr:from>
    <xdr:to>
      <xdr:col>7</xdr:col>
      <xdr:colOff>0</xdr:colOff>
      <xdr:row>91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17">
              <a:extLst>
                <a:ext uri="{FF2B5EF4-FFF2-40B4-BE49-F238E27FC236}">
                  <a16:creationId xmlns:a16="http://schemas.microsoft.com/office/drawing/2014/main" id="{AAD7E449-4C3A-E240-8295-D83C33CA3D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5255875"/>
              <a:ext cx="6515100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151F-8632-EB44-93FC-1399375A780D}">
  <dimension ref="A1:AC455"/>
  <sheetViews>
    <sheetView tabSelected="1" zoomScaleNormal="100" workbookViewId="0">
      <pane ySplit="1" topLeftCell="A431" activePane="bottomLeft" state="frozen"/>
      <selection pane="bottomLeft" activeCell="AB457" sqref="AB457"/>
    </sheetView>
  </sheetViews>
  <sheetFormatPr defaultColWidth="10.625" defaultRowHeight="15.75" x14ac:dyDescent="0.25"/>
  <cols>
    <col min="1" max="1" width="11.625" style="3" customWidth="1"/>
    <col min="2" max="2" width="8" customWidth="1"/>
    <col min="3" max="3" width="7.5" style="12" customWidth="1"/>
    <col min="4" max="4" width="13.875" customWidth="1"/>
    <col min="5" max="6" width="8" customWidth="1"/>
    <col min="7" max="7" width="7.125" customWidth="1"/>
    <col min="8" max="8" width="5.875" customWidth="1"/>
    <col min="9" max="9" width="5.5" customWidth="1"/>
    <col min="10" max="11" width="6" customWidth="1"/>
    <col min="12" max="12" width="6.625" customWidth="1"/>
    <col min="13" max="13" width="6.5" customWidth="1"/>
    <col min="14" max="15" width="5.5" customWidth="1"/>
    <col min="16" max="16" width="6.375" customWidth="1"/>
    <col min="17" max="19" width="5.5" customWidth="1"/>
    <col min="20" max="20" width="6.875" customWidth="1"/>
    <col min="21" max="21" width="6.5" customWidth="1"/>
    <col min="22" max="24" width="5.5" customWidth="1"/>
    <col min="27" max="27" width="10.875" style="9"/>
  </cols>
  <sheetData>
    <row r="1" spans="1:28" s="2" customFormat="1" ht="33" customHeight="1" x14ac:dyDescent="0.25">
      <c r="A1" s="4" t="s">
        <v>19</v>
      </c>
      <c r="B1" s="1" t="s">
        <v>15</v>
      </c>
      <c r="C1" s="11" t="s">
        <v>17</v>
      </c>
      <c r="D1" s="2" t="s">
        <v>16</v>
      </c>
      <c r="E1" s="2" t="s">
        <v>18</v>
      </c>
      <c r="F1" s="2" t="s">
        <v>13</v>
      </c>
      <c r="G1" s="2" t="s">
        <v>14</v>
      </c>
      <c r="H1" s="2" t="s">
        <v>8</v>
      </c>
      <c r="I1" s="2" t="s">
        <v>0</v>
      </c>
      <c r="J1" s="2" t="s">
        <v>1</v>
      </c>
      <c r="K1" s="2" t="s">
        <v>2</v>
      </c>
      <c r="L1" s="1" t="s">
        <v>25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9</v>
      </c>
      <c r="S1" s="2" t="s">
        <v>10</v>
      </c>
      <c r="T1" s="1" t="s">
        <v>24</v>
      </c>
      <c r="U1" s="2" t="s">
        <v>11</v>
      </c>
      <c r="V1" s="2" t="s">
        <v>12</v>
      </c>
      <c r="W1" s="1" t="s">
        <v>43</v>
      </c>
      <c r="X1" s="2" t="s">
        <v>27</v>
      </c>
      <c r="Y1" s="2" t="s">
        <v>26</v>
      </c>
      <c r="Z1" s="2" t="s">
        <v>22</v>
      </c>
      <c r="AA1" s="8" t="s">
        <v>23</v>
      </c>
      <c r="AB1" s="2" t="s">
        <v>57</v>
      </c>
    </row>
    <row r="2" spans="1:28" x14ac:dyDescent="0.25">
      <c r="A2" s="3">
        <v>44201</v>
      </c>
      <c r="B2" t="s">
        <v>20</v>
      </c>
      <c r="C2" s="12" t="s">
        <v>21</v>
      </c>
      <c r="D2" t="s">
        <v>28</v>
      </c>
      <c r="E2">
        <v>1807</v>
      </c>
      <c r="F2">
        <f>400+121</f>
        <v>521</v>
      </c>
      <c r="G2">
        <v>782</v>
      </c>
      <c r="H2">
        <v>1</v>
      </c>
      <c r="Q2">
        <v>1</v>
      </c>
      <c r="Y2">
        <f t="shared" ref="Y2:Y65" si="0">G2+F2*1.1+E2*0.26</f>
        <v>1824.9199999999998</v>
      </c>
      <c r="Z2">
        <f t="shared" ref="Z2:Z65" si="1">E2-Y2</f>
        <v>-17.919999999999845</v>
      </c>
      <c r="AA2" s="9">
        <f t="shared" ref="AA2:AA65" si="2">Z2/E2</f>
        <v>-9.9169894853347231E-3</v>
      </c>
    </row>
    <row r="3" spans="1:28" x14ac:dyDescent="0.25">
      <c r="A3" s="3">
        <v>44201</v>
      </c>
      <c r="B3" t="s">
        <v>20</v>
      </c>
      <c r="C3" s="12" t="s">
        <v>34</v>
      </c>
      <c r="D3" t="s">
        <v>35</v>
      </c>
      <c r="E3">
        <v>3363</v>
      </c>
      <c r="F3">
        <f>632 + 40</f>
        <v>672</v>
      </c>
      <c r="G3">
        <v>1604</v>
      </c>
      <c r="H3">
        <v>1</v>
      </c>
      <c r="Q3">
        <v>1</v>
      </c>
      <c r="Y3">
        <f t="shared" si="0"/>
        <v>3217.58</v>
      </c>
      <c r="Z3">
        <f t="shared" si="1"/>
        <v>145.42000000000007</v>
      </c>
      <c r="AA3" s="9">
        <f t="shared" si="2"/>
        <v>4.3241153731787114E-2</v>
      </c>
    </row>
    <row r="4" spans="1:28" x14ac:dyDescent="0.25">
      <c r="A4" s="3">
        <v>44201</v>
      </c>
      <c r="B4" t="s">
        <v>31</v>
      </c>
      <c r="C4" s="12" t="s">
        <v>47</v>
      </c>
      <c r="D4" t="s">
        <v>39</v>
      </c>
      <c r="E4">
        <v>2900</v>
      </c>
      <c r="F4">
        <v>200</v>
      </c>
      <c r="G4">
        <v>805</v>
      </c>
      <c r="H4">
        <v>1</v>
      </c>
      <c r="V4">
        <v>1</v>
      </c>
      <c r="Y4">
        <f t="shared" si="0"/>
        <v>1779</v>
      </c>
      <c r="Z4">
        <f t="shared" si="1"/>
        <v>1121</v>
      </c>
      <c r="AA4" s="10">
        <f t="shared" si="2"/>
        <v>0.38655172413793104</v>
      </c>
    </row>
    <row r="5" spans="1:28" x14ac:dyDescent="0.25">
      <c r="A5" s="3">
        <v>44201</v>
      </c>
      <c r="B5" t="s">
        <v>31</v>
      </c>
      <c r="C5" s="12" t="s">
        <v>21</v>
      </c>
      <c r="D5" t="s">
        <v>42</v>
      </c>
      <c r="E5">
        <v>6971</v>
      </c>
      <c r="F5">
        <f>190+312+30</f>
        <v>532</v>
      </c>
      <c r="G5">
        <v>2146</v>
      </c>
      <c r="H5">
        <v>1</v>
      </c>
      <c r="Q5">
        <v>1</v>
      </c>
      <c r="W5">
        <v>1</v>
      </c>
      <c r="Y5">
        <f t="shared" si="0"/>
        <v>4543.66</v>
      </c>
      <c r="Z5">
        <f t="shared" si="1"/>
        <v>2427.34</v>
      </c>
      <c r="AA5" s="9">
        <f t="shared" si="2"/>
        <v>0.34820542246449576</v>
      </c>
    </row>
    <row r="6" spans="1:28" x14ac:dyDescent="0.25">
      <c r="A6" s="3">
        <v>44204</v>
      </c>
      <c r="B6" t="s">
        <v>31</v>
      </c>
      <c r="C6" s="12" t="s">
        <v>47</v>
      </c>
      <c r="D6" t="s">
        <v>44</v>
      </c>
      <c r="E6">
        <v>400</v>
      </c>
      <c r="F6">
        <v>25</v>
      </c>
      <c r="G6">
        <v>271</v>
      </c>
      <c r="H6">
        <v>1</v>
      </c>
      <c r="Q6">
        <v>1</v>
      </c>
      <c r="Y6">
        <f t="shared" si="0"/>
        <v>402.5</v>
      </c>
      <c r="Z6">
        <f t="shared" si="1"/>
        <v>-2.5</v>
      </c>
      <c r="AA6" s="9">
        <f t="shared" si="2"/>
        <v>-6.2500000000000003E-3</v>
      </c>
    </row>
    <row r="7" spans="1:28" x14ac:dyDescent="0.25">
      <c r="A7" s="3">
        <v>44202</v>
      </c>
      <c r="B7" t="s">
        <v>30</v>
      </c>
      <c r="C7" s="12" t="s">
        <v>48</v>
      </c>
      <c r="D7" t="s">
        <v>38</v>
      </c>
      <c r="E7">
        <f>4675+200-35</f>
        <v>4840</v>
      </c>
      <c r="F7">
        <f>633+122</f>
        <v>755</v>
      </c>
      <c r="G7">
        <v>1218</v>
      </c>
      <c r="H7">
        <v>1</v>
      </c>
      <c r="Q7">
        <v>1</v>
      </c>
      <c r="R7">
        <v>1</v>
      </c>
      <c r="Y7">
        <f t="shared" si="0"/>
        <v>3306.9</v>
      </c>
      <c r="Z7">
        <f t="shared" si="1"/>
        <v>1533.1</v>
      </c>
      <c r="AA7" s="9">
        <f t="shared" si="2"/>
        <v>0.31675619834710744</v>
      </c>
      <c r="AB7">
        <v>1</v>
      </c>
    </row>
    <row r="8" spans="1:28" x14ac:dyDescent="0.25">
      <c r="A8" s="3">
        <v>44207</v>
      </c>
      <c r="B8" t="s">
        <v>20</v>
      </c>
      <c r="C8" s="12" t="s">
        <v>48</v>
      </c>
      <c r="D8" t="s">
        <v>41</v>
      </c>
      <c r="E8">
        <v>892</v>
      </c>
      <c r="F8">
        <v>161</v>
      </c>
      <c r="G8">
        <v>355</v>
      </c>
      <c r="H8">
        <v>1</v>
      </c>
      <c r="Q8">
        <v>1</v>
      </c>
      <c r="Y8">
        <f t="shared" si="0"/>
        <v>764.02</v>
      </c>
      <c r="Z8">
        <f t="shared" si="1"/>
        <v>127.98000000000002</v>
      </c>
      <c r="AA8" s="9">
        <f t="shared" si="2"/>
        <v>0.14347533632286996</v>
      </c>
      <c r="AB8">
        <v>1</v>
      </c>
    </row>
    <row r="9" spans="1:28" x14ac:dyDescent="0.25">
      <c r="A9" s="3">
        <v>44204</v>
      </c>
      <c r="B9" t="s">
        <v>30</v>
      </c>
      <c r="C9" s="12" t="s">
        <v>47</v>
      </c>
      <c r="D9" t="s">
        <v>29</v>
      </c>
      <c r="E9">
        <f>(2199+4760)*0.9</f>
        <v>6263.1</v>
      </c>
      <c r="F9">
        <f>151+40+230 + 100</f>
        <v>521</v>
      </c>
      <c r="G9">
        <f>1448+400</f>
        <v>1848</v>
      </c>
      <c r="H9">
        <v>1</v>
      </c>
      <c r="Q9">
        <v>1</v>
      </c>
      <c r="V9">
        <v>1</v>
      </c>
      <c r="Y9">
        <f t="shared" si="0"/>
        <v>4049.5060000000003</v>
      </c>
      <c r="Z9">
        <f t="shared" si="1"/>
        <v>2213.5940000000001</v>
      </c>
      <c r="AA9" s="10">
        <f t="shared" si="2"/>
        <v>0.35343424182912614</v>
      </c>
    </row>
    <row r="10" spans="1:28" x14ac:dyDescent="0.25">
      <c r="A10" s="3">
        <v>44200</v>
      </c>
      <c r="B10" t="s">
        <v>31</v>
      </c>
      <c r="C10" s="12" t="s">
        <v>21</v>
      </c>
      <c r="D10" t="s">
        <v>33</v>
      </c>
      <c r="E10">
        <f>7980*0.95</f>
        <v>7581</v>
      </c>
      <c r="F10">
        <f>78+120+1166</f>
        <v>1364</v>
      </c>
      <c r="G10">
        <v>2395</v>
      </c>
      <c r="H10">
        <v>1</v>
      </c>
      <c r="Q10">
        <v>1</v>
      </c>
      <c r="R10">
        <v>1</v>
      </c>
      <c r="T10">
        <v>1</v>
      </c>
      <c r="U10">
        <v>1</v>
      </c>
      <c r="V10">
        <v>1</v>
      </c>
      <c r="Y10">
        <f t="shared" si="0"/>
        <v>5866.46</v>
      </c>
      <c r="Z10">
        <f t="shared" si="1"/>
        <v>1714.54</v>
      </c>
      <c r="AA10" s="9">
        <f t="shared" si="2"/>
        <v>0.22616277535945126</v>
      </c>
      <c r="AB10" s="5"/>
    </row>
    <row r="11" spans="1:28" x14ac:dyDescent="0.25">
      <c r="A11" s="3">
        <v>44210</v>
      </c>
      <c r="B11" t="s">
        <v>20</v>
      </c>
      <c r="C11" s="12" t="s">
        <v>47</v>
      </c>
      <c r="D11" t="s">
        <v>40</v>
      </c>
      <c r="E11">
        <v>1440</v>
      </c>
      <c r="F11">
        <v>110</v>
      </c>
      <c r="G11">
        <v>466</v>
      </c>
      <c r="H11">
        <v>1</v>
      </c>
      <c r="Q11">
        <v>1</v>
      </c>
      <c r="R11">
        <v>1</v>
      </c>
      <c r="Y11">
        <f t="shared" si="0"/>
        <v>961.40000000000009</v>
      </c>
      <c r="Z11">
        <f t="shared" si="1"/>
        <v>478.59999999999991</v>
      </c>
      <c r="AA11" s="10">
        <f t="shared" si="2"/>
        <v>0.33236111111111105</v>
      </c>
    </row>
    <row r="12" spans="1:28" x14ac:dyDescent="0.25">
      <c r="A12" s="3">
        <v>44207</v>
      </c>
      <c r="B12" t="s">
        <v>20</v>
      </c>
      <c r="C12" s="12" t="s">
        <v>21</v>
      </c>
      <c r="D12" t="s">
        <v>46</v>
      </c>
      <c r="E12">
        <v>3126</v>
      </c>
      <c r="F12">
        <f>319 + 150 + 80 + 57</f>
        <v>606</v>
      </c>
      <c r="G12">
        <v>1063</v>
      </c>
      <c r="H12">
        <v>1</v>
      </c>
      <c r="Q12">
        <v>1</v>
      </c>
      <c r="R12">
        <v>1</v>
      </c>
      <c r="U12">
        <v>1</v>
      </c>
      <c r="Y12">
        <f t="shared" si="0"/>
        <v>2542.3599999999997</v>
      </c>
      <c r="Z12">
        <f t="shared" si="1"/>
        <v>583.64000000000033</v>
      </c>
      <c r="AA12" s="10">
        <f t="shared" si="2"/>
        <v>0.18670505438259768</v>
      </c>
    </row>
    <row r="13" spans="1:28" x14ac:dyDescent="0.25">
      <c r="A13" s="3">
        <v>44208</v>
      </c>
      <c r="B13" t="s">
        <v>31</v>
      </c>
      <c r="C13" s="12" t="s">
        <v>48</v>
      </c>
      <c r="D13" t="s">
        <v>37</v>
      </c>
      <c r="E13">
        <v>970</v>
      </c>
      <c r="F13">
        <v>101</v>
      </c>
      <c r="G13">
        <v>491</v>
      </c>
      <c r="H13">
        <v>1</v>
      </c>
      <c r="Q13">
        <v>1</v>
      </c>
      <c r="R13">
        <v>1</v>
      </c>
      <c r="S13">
        <v>1</v>
      </c>
      <c r="T13">
        <v>1</v>
      </c>
      <c r="X13">
        <v>1</v>
      </c>
      <c r="Y13">
        <f t="shared" si="0"/>
        <v>854.30000000000007</v>
      </c>
      <c r="Z13">
        <f t="shared" si="1"/>
        <v>115.69999999999993</v>
      </c>
      <c r="AA13" s="10">
        <f t="shared" si="2"/>
        <v>0.11927835051546384</v>
      </c>
    </row>
    <row r="14" spans="1:28" x14ac:dyDescent="0.25">
      <c r="A14" s="3">
        <v>44210</v>
      </c>
      <c r="B14" t="s">
        <v>20</v>
      </c>
      <c r="C14" s="12" t="s">
        <v>48</v>
      </c>
      <c r="D14" t="s">
        <v>52</v>
      </c>
      <c r="E14">
        <v>695</v>
      </c>
      <c r="F14">
        <v>86</v>
      </c>
      <c r="G14">
        <v>181</v>
      </c>
      <c r="H14">
        <v>1</v>
      </c>
      <c r="Q14">
        <v>1</v>
      </c>
      <c r="S14">
        <v>1</v>
      </c>
      <c r="T14">
        <v>1</v>
      </c>
      <c r="Y14">
        <f t="shared" si="0"/>
        <v>456.30000000000007</v>
      </c>
      <c r="Z14">
        <f t="shared" si="1"/>
        <v>238.69999999999993</v>
      </c>
      <c r="AA14" s="10">
        <f t="shared" si="2"/>
        <v>0.34345323741007183</v>
      </c>
    </row>
    <row r="15" spans="1:28" x14ac:dyDescent="0.25">
      <c r="A15" s="3">
        <v>44210</v>
      </c>
      <c r="B15" t="s">
        <v>31</v>
      </c>
      <c r="C15" s="12" t="s">
        <v>34</v>
      </c>
      <c r="D15" t="s">
        <v>51</v>
      </c>
      <c r="E15">
        <v>5788</v>
      </c>
      <c r="F15">
        <f>190+1000+116</f>
        <v>1306</v>
      </c>
      <c r="G15">
        <v>2321</v>
      </c>
      <c r="H15">
        <v>1</v>
      </c>
      <c r="Q15">
        <v>1</v>
      </c>
      <c r="R15">
        <v>1</v>
      </c>
      <c r="S15">
        <v>1</v>
      </c>
      <c r="T15">
        <v>1</v>
      </c>
      <c r="Y15">
        <f t="shared" si="0"/>
        <v>5262.4800000000005</v>
      </c>
      <c r="Z15">
        <f t="shared" si="1"/>
        <v>525.51999999999953</v>
      </c>
      <c r="AA15" s="10">
        <f t="shared" si="2"/>
        <v>9.0794747753973656E-2</v>
      </c>
    </row>
    <row r="16" spans="1:28" x14ac:dyDescent="0.25">
      <c r="A16" s="3">
        <v>44210</v>
      </c>
      <c r="B16" t="s">
        <v>31</v>
      </c>
      <c r="C16" s="12" t="s">
        <v>47</v>
      </c>
      <c r="D16" t="s">
        <v>36</v>
      </c>
      <c r="E16">
        <v>750</v>
      </c>
      <c r="F16">
        <v>202</v>
      </c>
      <c r="G16">
        <v>349</v>
      </c>
      <c r="H16">
        <v>1</v>
      </c>
      <c r="M16">
        <v>1</v>
      </c>
      <c r="Q16">
        <v>1</v>
      </c>
      <c r="R16">
        <v>1</v>
      </c>
      <c r="Y16">
        <f t="shared" si="0"/>
        <v>766.2</v>
      </c>
      <c r="Z16">
        <f t="shared" si="1"/>
        <v>-16.200000000000045</v>
      </c>
      <c r="AA16" s="10">
        <f t="shared" si="2"/>
        <v>-2.160000000000006E-2</v>
      </c>
    </row>
    <row r="17" spans="1:27" x14ac:dyDescent="0.25">
      <c r="A17" s="3">
        <v>44214</v>
      </c>
      <c r="B17" t="s">
        <v>20</v>
      </c>
      <c r="C17" s="12" t="s">
        <v>48</v>
      </c>
      <c r="D17" t="s">
        <v>56</v>
      </c>
      <c r="E17">
        <v>625</v>
      </c>
      <c r="F17">
        <v>60</v>
      </c>
      <c r="G17">
        <v>170</v>
      </c>
      <c r="H17">
        <v>1</v>
      </c>
      <c r="Q17">
        <v>1</v>
      </c>
      <c r="R17">
        <v>1</v>
      </c>
      <c r="Y17">
        <f t="shared" si="0"/>
        <v>398.5</v>
      </c>
      <c r="Z17">
        <f t="shared" si="1"/>
        <v>226.5</v>
      </c>
      <c r="AA17" s="10">
        <f t="shared" si="2"/>
        <v>0.3624</v>
      </c>
    </row>
    <row r="18" spans="1:27" x14ac:dyDescent="0.25">
      <c r="A18" s="3">
        <v>44207</v>
      </c>
      <c r="B18" t="s">
        <v>31</v>
      </c>
      <c r="C18" s="12" t="s">
        <v>47</v>
      </c>
      <c r="D18" t="s">
        <v>32</v>
      </c>
      <c r="E18">
        <v>3200</v>
      </c>
      <c r="F18">
        <f>114+60 + 100</f>
        <v>274</v>
      </c>
      <c r="G18">
        <f>1058 + 200</f>
        <v>1258</v>
      </c>
      <c r="H18">
        <v>1</v>
      </c>
      <c r="Q18">
        <v>1</v>
      </c>
      <c r="S18">
        <v>1</v>
      </c>
      <c r="T18">
        <v>1</v>
      </c>
      <c r="V18">
        <v>1</v>
      </c>
      <c r="Y18">
        <f t="shared" si="0"/>
        <v>2391.4</v>
      </c>
      <c r="Z18">
        <f t="shared" si="1"/>
        <v>808.59999999999991</v>
      </c>
      <c r="AA18" s="10">
        <f t="shared" si="2"/>
        <v>0.25268749999999995</v>
      </c>
    </row>
    <row r="19" spans="1:27" x14ac:dyDescent="0.25">
      <c r="A19" s="3">
        <v>44214</v>
      </c>
      <c r="B19" t="s">
        <v>30</v>
      </c>
      <c r="C19" s="12" t="s">
        <v>34</v>
      </c>
      <c r="D19" t="s">
        <v>53</v>
      </c>
      <c r="E19">
        <v>7800</v>
      </c>
      <c r="F19">
        <f>939+197+80+170</f>
        <v>1386</v>
      </c>
      <c r="G19">
        <f>2285+2*50</f>
        <v>2385</v>
      </c>
      <c r="H19">
        <v>1</v>
      </c>
      <c r="Q19">
        <v>1</v>
      </c>
      <c r="R19">
        <v>1</v>
      </c>
      <c r="S19">
        <v>1</v>
      </c>
      <c r="T19">
        <v>1</v>
      </c>
      <c r="Y19">
        <f t="shared" si="0"/>
        <v>5937.6</v>
      </c>
      <c r="Z19">
        <f t="shared" si="1"/>
        <v>1862.3999999999996</v>
      </c>
      <c r="AA19" s="10">
        <f t="shared" si="2"/>
        <v>0.23876923076923073</v>
      </c>
    </row>
    <row r="20" spans="1:27" x14ac:dyDescent="0.25">
      <c r="A20" s="3">
        <v>44214</v>
      </c>
      <c r="B20" t="s">
        <v>30</v>
      </c>
      <c r="C20" s="12" t="s">
        <v>47</v>
      </c>
      <c r="D20" t="s">
        <v>65</v>
      </c>
      <c r="E20">
        <v>3094</v>
      </c>
      <c r="F20">
        <f>220+50</f>
        <v>270</v>
      </c>
      <c r="G20">
        <f>992+12*50</f>
        <v>1592</v>
      </c>
      <c r="H20">
        <v>1</v>
      </c>
      <c r="V20">
        <v>1</v>
      </c>
      <c r="Y20">
        <f t="shared" si="0"/>
        <v>2693.44</v>
      </c>
      <c r="Z20">
        <f t="shared" si="1"/>
        <v>400.55999999999995</v>
      </c>
      <c r="AA20" s="10">
        <f t="shared" si="2"/>
        <v>0.12946347769877181</v>
      </c>
    </row>
    <row r="21" spans="1:27" x14ac:dyDescent="0.25">
      <c r="A21" s="3">
        <v>44214</v>
      </c>
      <c r="B21" t="s">
        <v>31</v>
      </c>
      <c r="C21" s="12" t="s">
        <v>47</v>
      </c>
      <c r="D21" t="s">
        <v>50</v>
      </c>
      <c r="E21">
        <v>1758</v>
      </c>
      <c r="F21">
        <f>255+150+90</f>
        <v>495</v>
      </c>
      <c r="G21">
        <v>687</v>
      </c>
      <c r="H21">
        <v>1</v>
      </c>
      <c r="R21">
        <v>1</v>
      </c>
      <c r="Y21">
        <f t="shared" si="0"/>
        <v>1688.58</v>
      </c>
      <c r="Z21">
        <f t="shared" si="1"/>
        <v>69.420000000000073</v>
      </c>
      <c r="AA21" s="10">
        <f t="shared" si="2"/>
        <v>3.9488054607508573E-2</v>
      </c>
    </row>
    <row r="22" spans="1:27" x14ac:dyDescent="0.25">
      <c r="A22" s="3">
        <v>44215</v>
      </c>
      <c r="B22" t="s">
        <v>31</v>
      </c>
      <c r="C22" s="12" t="s">
        <v>21</v>
      </c>
      <c r="D22" t="s">
        <v>60</v>
      </c>
      <c r="E22">
        <v>4000</v>
      </c>
      <c r="F22">
        <f>314+394+44</f>
        <v>752</v>
      </c>
      <c r="G22">
        <v>1321</v>
      </c>
      <c r="H22">
        <v>1</v>
      </c>
      <c r="Q22">
        <v>1</v>
      </c>
      <c r="R22">
        <v>1</v>
      </c>
      <c r="U22">
        <v>1</v>
      </c>
      <c r="Y22">
        <f t="shared" si="0"/>
        <v>3188.2</v>
      </c>
      <c r="Z22">
        <f t="shared" si="1"/>
        <v>811.80000000000018</v>
      </c>
      <c r="AA22" s="10">
        <f t="shared" si="2"/>
        <v>0.20295000000000005</v>
      </c>
    </row>
    <row r="23" spans="1:27" x14ac:dyDescent="0.25">
      <c r="A23" s="3">
        <v>44224</v>
      </c>
      <c r="B23" t="s">
        <v>20</v>
      </c>
      <c r="C23" s="12" t="s">
        <v>48</v>
      </c>
      <c r="D23" t="s">
        <v>28</v>
      </c>
      <c r="E23">
        <v>2009</v>
      </c>
      <c r="F23">
        <f>434+200</f>
        <v>634</v>
      </c>
      <c r="G23">
        <v>822</v>
      </c>
      <c r="H23">
        <v>1</v>
      </c>
      <c r="Q23">
        <v>1</v>
      </c>
      <c r="U23">
        <v>1</v>
      </c>
      <c r="Y23">
        <f t="shared" si="0"/>
        <v>2041.7400000000002</v>
      </c>
      <c r="Z23">
        <f t="shared" si="1"/>
        <v>-32.740000000000236</v>
      </c>
      <c r="AA23" s="10">
        <f t="shared" si="2"/>
        <v>-1.6296665007466519E-2</v>
      </c>
    </row>
    <row r="24" spans="1:27" x14ac:dyDescent="0.25">
      <c r="A24" s="3">
        <v>44223</v>
      </c>
      <c r="B24" t="s">
        <v>20</v>
      </c>
      <c r="C24" s="12" t="s">
        <v>21</v>
      </c>
      <c r="D24" t="s">
        <v>59</v>
      </c>
      <c r="E24">
        <f>1970+300</f>
        <v>2270</v>
      </c>
      <c r="F24">
        <f>60+271+40</f>
        <v>371</v>
      </c>
      <c r="G24">
        <v>738</v>
      </c>
      <c r="H24">
        <v>1</v>
      </c>
      <c r="Q24">
        <v>1</v>
      </c>
      <c r="R24">
        <v>1</v>
      </c>
      <c r="S24">
        <v>1</v>
      </c>
      <c r="T24">
        <v>1</v>
      </c>
      <c r="U24">
        <v>1</v>
      </c>
      <c r="Y24">
        <f t="shared" si="0"/>
        <v>1736.3</v>
      </c>
      <c r="Z24">
        <f t="shared" si="1"/>
        <v>533.70000000000005</v>
      </c>
      <c r="AA24" s="10">
        <f t="shared" si="2"/>
        <v>0.23511013215859033</v>
      </c>
    </row>
    <row r="25" spans="1:27" x14ac:dyDescent="0.25">
      <c r="A25" s="3">
        <v>44224</v>
      </c>
      <c r="B25" t="s">
        <v>31</v>
      </c>
      <c r="C25" s="12" t="s">
        <v>47</v>
      </c>
      <c r="D25" t="s">
        <v>55</v>
      </c>
      <c r="E25">
        <v>630</v>
      </c>
      <c r="F25">
        <v>155</v>
      </c>
      <c r="G25">
        <v>342</v>
      </c>
      <c r="H25">
        <v>1</v>
      </c>
      <c r="Q25">
        <v>1</v>
      </c>
      <c r="Y25">
        <f t="shared" si="0"/>
        <v>676.3</v>
      </c>
      <c r="Z25">
        <f t="shared" si="1"/>
        <v>-46.299999999999955</v>
      </c>
      <c r="AA25" s="10">
        <f t="shared" si="2"/>
        <v>-7.3492063492063414E-2</v>
      </c>
    </row>
    <row r="26" spans="1:27" x14ac:dyDescent="0.25">
      <c r="A26" s="3">
        <v>44223</v>
      </c>
      <c r="B26" t="s">
        <v>31</v>
      </c>
      <c r="C26" s="12" t="s">
        <v>34</v>
      </c>
      <c r="D26" t="s">
        <v>63</v>
      </c>
      <c r="E26">
        <v>950</v>
      </c>
      <c r="F26">
        <v>160</v>
      </c>
      <c r="G26">
        <v>323</v>
      </c>
      <c r="H26">
        <v>1</v>
      </c>
      <c r="Q26">
        <v>1</v>
      </c>
      <c r="S26">
        <v>1</v>
      </c>
      <c r="T26">
        <v>1</v>
      </c>
      <c r="Y26">
        <f t="shared" si="0"/>
        <v>746</v>
      </c>
      <c r="Z26">
        <f t="shared" si="1"/>
        <v>204</v>
      </c>
      <c r="AA26" s="10">
        <f t="shared" si="2"/>
        <v>0.21473684210526317</v>
      </c>
    </row>
    <row r="27" spans="1:27" x14ac:dyDescent="0.25">
      <c r="A27" s="3">
        <v>44221</v>
      </c>
      <c r="B27" t="s">
        <v>31</v>
      </c>
      <c r="C27" s="12" t="s">
        <v>47</v>
      </c>
      <c r="D27" t="s">
        <v>62</v>
      </c>
      <c r="E27">
        <v>4956</v>
      </c>
      <c r="F27">
        <f>691+230</f>
        <v>921</v>
      </c>
      <c r="G27">
        <v>1746</v>
      </c>
      <c r="H27">
        <v>1</v>
      </c>
      <c r="Q27">
        <v>1</v>
      </c>
      <c r="Y27">
        <f t="shared" si="0"/>
        <v>4047.6600000000003</v>
      </c>
      <c r="Z27">
        <f t="shared" si="1"/>
        <v>908.33999999999969</v>
      </c>
      <c r="AA27" s="10">
        <f t="shared" si="2"/>
        <v>0.18328087167070212</v>
      </c>
    </row>
    <row r="28" spans="1:27" x14ac:dyDescent="0.25">
      <c r="A28" s="3">
        <v>44223</v>
      </c>
      <c r="B28" t="s">
        <v>31</v>
      </c>
      <c r="C28" s="12" t="s">
        <v>48</v>
      </c>
      <c r="D28" t="s">
        <v>54</v>
      </c>
      <c r="E28">
        <v>4060</v>
      </c>
      <c r="F28">
        <f>308+78+54+68+115+120</f>
        <v>743</v>
      </c>
      <c r="G28">
        <f>545 + 200</f>
        <v>745</v>
      </c>
      <c r="H28">
        <v>1</v>
      </c>
      <c r="Q28">
        <v>1</v>
      </c>
      <c r="T28">
        <v>1</v>
      </c>
      <c r="V28">
        <v>1</v>
      </c>
      <c r="X28">
        <v>1</v>
      </c>
      <c r="Y28">
        <f t="shared" si="0"/>
        <v>2617.9000000000005</v>
      </c>
      <c r="Z28">
        <f t="shared" si="1"/>
        <v>1442.0999999999995</v>
      </c>
      <c r="AA28" s="10">
        <f t="shared" si="2"/>
        <v>0.35519704433497523</v>
      </c>
    </row>
    <row r="29" spans="1:27" x14ac:dyDescent="0.25">
      <c r="A29" s="3">
        <v>44223</v>
      </c>
      <c r="B29" t="s">
        <v>31</v>
      </c>
      <c r="C29" s="12" t="s">
        <v>48</v>
      </c>
      <c r="D29" t="s">
        <v>64</v>
      </c>
      <c r="E29">
        <f>5585+5000+650</f>
        <v>11235</v>
      </c>
      <c r="F29">
        <f>420+400+420+115</f>
        <v>1355</v>
      </c>
      <c r="G29">
        <v>2665</v>
      </c>
      <c r="H29">
        <v>1</v>
      </c>
      <c r="Q29">
        <v>1</v>
      </c>
      <c r="T29">
        <v>1</v>
      </c>
      <c r="X29">
        <v>1</v>
      </c>
      <c r="Y29">
        <f t="shared" si="0"/>
        <v>7076.6</v>
      </c>
      <c r="Z29">
        <f t="shared" si="1"/>
        <v>4158.3999999999996</v>
      </c>
      <c r="AA29" s="10">
        <f t="shared" si="2"/>
        <v>0.37012906097018244</v>
      </c>
    </row>
    <row r="30" spans="1:27" x14ac:dyDescent="0.25">
      <c r="A30" s="3">
        <v>44230</v>
      </c>
      <c r="B30" t="s">
        <v>20</v>
      </c>
      <c r="C30" s="12" t="s">
        <v>34</v>
      </c>
      <c r="D30" t="s">
        <v>71</v>
      </c>
      <c r="E30">
        <v>859</v>
      </c>
      <c r="F30">
        <f>35+100+20</f>
        <v>155</v>
      </c>
      <c r="G30">
        <v>376</v>
      </c>
      <c r="H30">
        <v>1</v>
      </c>
      <c r="Q30">
        <v>1</v>
      </c>
      <c r="R30">
        <v>1</v>
      </c>
      <c r="Y30">
        <f t="shared" si="0"/>
        <v>769.84</v>
      </c>
      <c r="Z30">
        <f t="shared" si="1"/>
        <v>89.159999999999968</v>
      </c>
      <c r="AA30" s="10">
        <f t="shared" si="2"/>
        <v>0.10379511059371359</v>
      </c>
    </row>
    <row r="31" spans="1:27" x14ac:dyDescent="0.25">
      <c r="A31" s="3">
        <v>44228</v>
      </c>
      <c r="B31" t="s">
        <v>31</v>
      </c>
      <c r="C31" s="12" t="s">
        <v>34</v>
      </c>
      <c r="D31" t="s">
        <v>67</v>
      </c>
      <c r="E31">
        <v>2560</v>
      </c>
      <c r="F31">
        <f>525+42</f>
        <v>567</v>
      </c>
      <c r="G31">
        <v>979</v>
      </c>
      <c r="H31">
        <v>1</v>
      </c>
      <c r="Q31">
        <v>1</v>
      </c>
      <c r="S31">
        <v>1</v>
      </c>
      <c r="T31">
        <v>1</v>
      </c>
      <c r="Y31">
        <f t="shared" si="0"/>
        <v>2268.3000000000002</v>
      </c>
      <c r="Z31">
        <f t="shared" si="1"/>
        <v>291.69999999999982</v>
      </c>
      <c r="AA31" s="10">
        <f t="shared" si="2"/>
        <v>0.11394531249999992</v>
      </c>
    </row>
    <row r="32" spans="1:27" x14ac:dyDescent="0.25">
      <c r="A32" s="3">
        <v>44230</v>
      </c>
      <c r="B32" t="s">
        <v>31</v>
      </c>
      <c r="C32" s="12" t="s">
        <v>21</v>
      </c>
      <c r="D32" t="s">
        <v>73</v>
      </c>
      <c r="E32">
        <f>2565*0.9</f>
        <v>2308.5</v>
      </c>
      <c r="F32">
        <v>360</v>
      </c>
      <c r="G32">
        <v>666</v>
      </c>
      <c r="H32">
        <v>1</v>
      </c>
      <c r="Q32">
        <v>1</v>
      </c>
      <c r="R32">
        <v>1</v>
      </c>
      <c r="S32">
        <v>1</v>
      </c>
      <c r="Y32">
        <f t="shared" si="0"/>
        <v>1662.21</v>
      </c>
      <c r="Z32">
        <f t="shared" si="1"/>
        <v>646.29</v>
      </c>
      <c r="AA32" s="10">
        <f t="shared" si="2"/>
        <v>0.27996101364522413</v>
      </c>
    </row>
    <row r="33" spans="1:28" x14ac:dyDescent="0.25">
      <c r="A33" s="3">
        <v>44231</v>
      </c>
      <c r="B33" t="s">
        <v>20</v>
      </c>
      <c r="C33" s="12" t="s">
        <v>48</v>
      </c>
      <c r="D33" t="s">
        <v>69</v>
      </c>
      <c r="E33">
        <v>1451</v>
      </c>
      <c r="F33">
        <f>40+135+70</f>
        <v>245</v>
      </c>
      <c r="G33">
        <f>574+150</f>
        <v>724</v>
      </c>
      <c r="H33">
        <v>1</v>
      </c>
      <c r="Q33">
        <v>1</v>
      </c>
      <c r="S33">
        <v>1</v>
      </c>
      <c r="V33">
        <v>1</v>
      </c>
      <c r="Y33">
        <f t="shared" si="0"/>
        <v>1370.76</v>
      </c>
      <c r="Z33">
        <f t="shared" si="1"/>
        <v>80.240000000000009</v>
      </c>
      <c r="AA33" s="10">
        <f t="shared" si="2"/>
        <v>5.5299793246037225E-2</v>
      </c>
    </row>
    <row r="34" spans="1:28" x14ac:dyDescent="0.25">
      <c r="A34" s="3">
        <v>44231</v>
      </c>
      <c r="B34" t="s">
        <v>20</v>
      </c>
      <c r="C34" s="12" t="s">
        <v>21</v>
      </c>
      <c r="D34" t="s">
        <v>72</v>
      </c>
      <c r="E34">
        <v>2217</v>
      </c>
      <c r="F34">
        <v>403</v>
      </c>
      <c r="G34">
        <v>683</v>
      </c>
      <c r="H34">
        <v>1</v>
      </c>
      <c r="Q34">
        <v>1</v>
      </c>
      <c r="S34">
        <v>1</v>
      </c>
      <c r="Y34">
        <f t="shared" si="0"/>
        <v>1702.72</v>
      </c>
      <c r="Z34">
        <f t="shared" si="1"/>
        <v>514.28</v>
      </c>
      <c r="AA34" s="10">
        <f t="shared" si="2"/>
        <v>0.23197113216057735</v>
      </c>
    </row>
    <row r="35" spans="1:28" x14ac:dyDescent="0.25">
      <c r="A35" s="3">
        <v>44232</v>
      </c>
      <c r="B35" t="s">
        <v>20</v>
      </c>
      <c r="C35" s="12" t="s">
        <v>34</v>
      </c>
      <c r="D35" t="s">
        <v>75</v>
      </c>
      <c r="E35">
        <v>427</v>
      </c>
      <c r="F35">
        <v>45</v>
      </c>
      <c r="G35">
        <v>234</v>
      </c>
      <c r="H35">
        <v>1</v>
      </c>
      <c r="Q35">
        <v>1</v>
      </c>
      <c r="S35">
        <v>1</v>
      </c>
      <c r="Y35">
        <f t="shared" si="0"/>
        <v>394.52</v>
      </c>
      <c r="Z35">
        <f t="shared" si="1"/>
        <v>32.480000000000018</v>
      </c>
      <c r="AA35" s="10">
        <f t="shared" si="2"/>
        <v>7.6065573770491848E-2</v>
      </c>
    </row>
    <row r="36" spans="1:28" x14ac:dyDescent="0.25">
      <c r="A36" s="3">
        <v>44232</v>
      </c>
      <c r="B36" t="s">
        <v>30</v>
      </c>
      <c r="C36" s="12" t="s">
        <v>47</v>
      </c>
      <c r="D36" t="s">
        <v>78</v>
      </c>
      <c r="E36">
        <v>716</v>
      </c>
      <c r="F36">
        <v>101</v>
      </c>
      <c r="G36">
        <v>364</v>
      </c>
      <c r="H36">
        <v>1</v>
      </c>
      <c r="Q36">
        <v>1</v>
      </c>
      <c r="R36">
        <v>1</v>
      </c>
      <c r="S36">
        <v>1</v>
      </c>
      <c r="T36">
        <v>1</v>
      </c>
      <c r="Y36">
        <f t="shared" si="0"/>
        <v>661.26</v>
      </c>
      <c r="Z36">
        <f t="shared" si="1"/>
        <v>54.740000000000009</v>
      </c>
      <c r="AA36" s="10">
        <f t="shared" si="2"/>
        <v>7.6452513966480465E-2</v>
      </c>
    </row>
    <row r="37" spans="1:28" x14ac:dyDescent="0.25">
      <c r="A37" s="3">
        <v>44232</v>
      </c>
      <c r="B37" t="s">
        <v>30</v>
      </c>
      <c r="C37" s="12" t="s">
        <v>47</v>
      </c>
      <c r="D37" t="s">
        <v>68</v>
      </c>
      <c r="E37">
        <v>764</v>
      </c>
      <c r="F37">
        <v>147</v>
      </c>
      <c r="G37">
        <v>328</v>
      </c>
      <c r="H37">
        <v>1</v>
      </c>
      <c r="Q37">
        <v>1</v>
      </c>
      <c r="Y37">
        <f t="shared" si="0"/>
        <v>688.34</v>
      </c>
      <c r="Z37">
        <f t="shared" si="1"/>
        <v>75.659999999999968</v>
      </c>
      <c r="AA37" s="10">
        <f t="shared" si="2"/>
        <v>9.90314136125654E-2</v>
      </c>
    </row>
    <row r="38" spans="1:28" x14ac:dyDescent="0.25">
      <c r="A38" s="3">
        <v>44228</v>
      </c>
      <c r="B38" t="s">
        <v>31</v>
      </c>
      <c r="C38" s="12" t="s">
        <v>48</v>
      </c>
      <c r="D38" t="s">
        <v>58</v>
      </c>
      <c r="E38">
        <v>13700</v>
      </c>
      <c r="F38">
        <f>110+170+837+36+142+415+140 + 140</f>
        <v>1990</v>
      </c>
      <c r="G38">
        <f>5302+200</f>
        <v>5502</v>
      </c>
      <c r="H38">
        <v>1</v>
      </c>
      <c r="Q38">
        <v>1</v>
      </c>
      <c r="T38">
        <v>1</v>
      </c>
      <c r="X38">
        <v>1</v>
      </c>
      <c r="Y38">
        <f t="shared" si="0"/>
        <v>11253</v>
      </c>
      <c r="Z38">
        <f t="shared" si="1"/>
        <v>2447</v>
      </c>
      <c r="AA38" s="10">
        <f t="shared" si="2"/>
        <v>0.17861313868613138</v>
      </c>
      <c r="AB38">
        <v>1</v>
      </c>
    </row>
    <row r="39" spans="1:28" x14ac:dyDescent="0.25">
      <c r="A39" s="3">
        <v>44238</v>
      </c>
      <c r="B39" t="s">
        <v>31</v>
      </c>
      <c r="C39" s="12" t="s">
        <v>48</v>
      </c>
      <c r="D39" t="s">
        <v>83</v>
      </c>
      <c r="E39">
        <v>2475</v>
      </c>
      <c r="F39">
        <f>211+529</f>
        <v>740</v>
      </c>
      <c r="G39">
        <v>1078</v>
      </c>
      <c r="H39">
        <v>1</v>
      </c>
      <c r="Q39">
        <v>1</v>
      </c>
      <c r="R39">
        <v>1</v>
      </c>
      <c r="Y39">
        <f t="shared" si="0"/>
        <v>2535.5</v>
      </c>
      <c r="Z39">
        <f t="shared" si="1"/>
        <v>-60.5</v>
      </c>
      <c r="AA39" s="10">
        <f t="shared" si="2"/>
        <v>-2.4444444444444446E-2</v>
      </c>
    </row>
    <row r="40" spans="1:28" x14ac:dyDescent="0.25">
      <c r="A40" s="3">
        <v>44237</v>
      </c>
      <c r="B40" t="s">
        <v>31</v>
      </c>
      <c r="C40" s="12" t="s">
        <v>21</v>
      </c>
      <c r="D40" t="s">
        <v>80</v>
      </c>
      <c r="E40">
        <v>1500</v>
      </c>
      <c r="F40">
        <v>170</v>
      </c>
      <c r="G40">
        <v>401</v>
      </c>
      <c r="H40">
        <v>1</v>
      </c>
      <c r="Q40">
        <v>1</v>
      </c>
      <c r="Y40">
        <f t="shared" si="0"/>
        <v>978</v>
      </c>
      <c r="Z40">
        <f t="shared" si="1"/>
        <v>522</v>
      </c>
      <c r="AA40" s="10">
        <f t="shared" si="2"/>
        <v>0.34799999999999998</v>
      </c>
    </row>
    <row r="41" spans="1:28" x14ac:dyDescent="0.25">
      <c r="A41" s="3">
        <v>44239</v>
      </c>
      <c r="B41" t="s">
        <v>20</v>
      </c>
      <c r="C41" s="12" t="s">
        <v>47</v>
      </c>
      <c r="D41" t="s">
        <v>40</v>
      </c>
      <c r="E41">
        <v>634</v>
      </c>
      <c r="F41">
        <v>70</v>
      </c>
      <c r="G41">
        <v>334</v>
      </c>
      <c r="H41">
        <v>1</v>
      </c>
      <c r="Q41">
        <v>1</v>
      </c>
      <c r="R41">
        <v>1</v>
      </c>
      <c r="Y41">
        <f t="shared" si="0"/>
        <v>575.84</v>
      </c>
      <c r="Z41">
        <f t="shared" si="1"/>
        <v>58.159999999999968</v>
      </c>
      <c r="AA41" s="10">
        <f t="shared" si="2"/>
        <v>9.1735015772870618E-2</v>
      </c>
    </row>
    <row r="42" spans="1:28" x14ac:dyDescent="0.25">
      <c r="A42" s="3">
        <v>44232</v>
      </c>
      <c r="B42" t="s">
        <v>31</v>
      </c>
      <c r="C42" s="12" t="s">
        <v>34</v>
      </c>
      <c r="D42" t="s">
        <v>79</v>
      </c>
      <c r="E42">
        <v>315</v>
      </c>
      <c r="F42">
        <v>102</v>
      </c>
      <c r="G42">
        <v>301</v>
      </c>
      <c r="H42">
        <v>1</v>
      </c>
      <c r="Q42">
        <v>1</v>
      </c>
      <c r="Y42">
        <f t="shared" si="0"/>
        <v>495.1</v>
      </c>
      <c r="Z42">
        <f t="shared" si="1"/>
        <v>-180.10000000000002</v>
      </c>
      <c r="AA42" s="10">
        <f t="shared" si="2"/>
        <v>-0.57174603174603178</v>
      </c>
    </row>
    <row r="43" spans="1:28" x14ac:dyDescent="0.25">
      <c r="A43" s="3">
        <v>44237</v>
      </c>
      <c r="B43" t="s">
        <v>20</v>
      </c>
      <c r="C43" s="12" t="s">
        <v>48</v>
      </c>
      <c r="D43" t="s">
        <v>81</v>
      </c>
      <c r="E43">
        <v>3985</v>
      </c>
      <c r="F43">
        <f>527+38</f>
        <v>565</v>
      </c>
      <c r="G43">
        <v>1158</v>
      </c>
      <c r="H43">
        <v>1</v>
      </c>
      <c r="Q43">
        <v>1</v>
      </c>
      <c r="R43">
        <v>1</v>
      </c>
      <c r="S43">
        <v>1</v>
      </c>
      <c r="U43">
        <v>1</v>
      </c>
      <c r="Y43">
        <f t="shared" si="0"/>
        <v>2815.6000000000004</v>
      </c>
      <c r="Z43">
        <f t="shared" si="1"/>
        <v>1169.3999999999996</v>
      </c>
      <c r="AA43" s="10">
        <f t="shared" si="2"/>
        <v>0.29345043914680041</v>
      </c>
    </row>
    <row r="44" spans="1:28" x14ac:dyDescent="0.25">
      <c r="A44" s="3">
        <v>44239</v>
      </c>
      <c r="B44" t="s">
        <v>20</v>
      </c>
      <c r="C44" s="12" t="s">
        <v>47</v>
      </c>
      <c r="D44" t="s">
        <v>74</v>
      </c>
      <c r="E44">
        <v>2793</v>
      </c>
      <c r="F44">
        <f>120+50</f>
        <v>170</v>
      </c>
      <c r="G44">
        <v>965</v>
      </c>
      <c r="H44">
        <v>1</v>
      </c>
      <c r="V44">
        <v>1</v>
      </c>
      <c r="Y44">
        <f t="shared" si="0"/>
        <v>1878.18</v>
      </c>
      <c r="Z44">
        <f t="shared" si="1"/>
        <v>914.81999999999994</v>
      </c>
      <c r="AA44" s="10">
        <f t="shared" si="2"/>
        <v>0.32754027926960255</v>
      </c>
    </row>
    <row r="45" spans="1:28" x14ac:dyDescent="0.25">
      <c r="A45" s="3">
        <v>44243</v>
      </c>
      <c r="B45" t="s">
        <v>31</v>
      </c>
      <c r="C45" s="12" t="s">
        <v>34</v>
      </c>
      <c r="D45" t="s">
        <v>77</v>
      </c>
      <c r="E45">
        <v>1650</v>
      </c>
      <c r="F45">
        <f>114+50</f>
        <v>164</v>
      </c>
      <c r="G45">
        <v>350</v>
      </c>
      <c r="H45">
        <v>1</v>
      </c>
      <c r="V45">
        <v>1</v>
      </c>
      <c r="Y45">
        <f t="shared" si="0"/>
        <v>959.4</v>
      </c>
      <c r="Z45">
        <f t="shared" si="1"/>
        <v>690.6</v>
      </c>
      <c r="AA45" s="10">
        <f t="shared" si="2"/>
        <v>0.41854545454545455</v>
      </c>
    </row>
    <row r="46" spans="1:28" x14ac:dyDescent="0.25">
      <c r="A46" s="3">
        <v>44244</v>
      </c>
      <c r="B46" t="s">
        <v>20</v>
      </c>
      <c r="C46" s="12" t="s">
        <v>48</v>
      </c>
      <c r="D46" t="s">
        <v>88</v>
      </c>
      <c r="E46">
        <f>892*0.9</f>
        <v>802.80000000000007</v>
      </c>
      <c r="F46">
        <v>140</v>
      </c>
      <c r="G46">
        <v>378</v>
      </c>
      <c r="H46">
        <v>1</v>
      </c>
      <c r="Q46">
        <v>1</v>
      </c>
      <c r="R46">
        <v>1</v>
      </c>
      <c r="Y46">
        <f t="shared" si="0"/>
        <v>740.72800000000007</v>
      </c>
      <c r="Z46">
        <f t="shared" si="1"/>
        <v>62.072000000000003</v>
      </c>
      <c r="AA46" s="10">
        <f t="shared" si="2"/>
        <v>7.7319382162431491E-2</v>
      </c>
    </row>
    <row r="47" spans="1:28" x14ac:dyDescent="0.25">
      <c r="A47" s="3">
        <v>44245</v>
      </c>
      <c r="B47" t="s">
        <v>20</v>
      </c>
      <c r="C47" s="12" t="s">
        <v>47</v>
      </c>
      <c r="D47" t="s">
        <v>90</v>
      </c>
      <c r="E47">
        <v>610</v>
      </c>
      <c r="F47">
        <v>30</v>
      </c>
      <c r="G47">
        <v>279</v>
      </c>
      <c r="H47">
        <v>1</v>
      </c>
      <c r="R47">
        <v>1</v>
      </c>
      <c r="Y47">
        <f t="shared" si="0"/>
        <v>470.6</v>
      </c>
      <c r="Z47">
        <f t="shared" si="1"/>
        <v>139.39999999999998</v>
      </c>
      <c r="AA47" s="10">
        <f t="shared" si="2"/>
        <v>0.22852459016393439</v>
      </c>
    </row>
    <row r="48" spans="1:28" x14ac:dyDescent="0.25">
      <c r="A48" s="3">
        <v>44245</v>
      </c>
      <c r="B48" t="s">
        <v>20</v>
      </c>
      <c r="C48" s="12" t="s">
        <v>21</v>
      </c>
      <c r="D48" t="s">
        <v>82</v>
      </c>
      <c r="E48">
        <v>1292</v>
      </c>
      <c r="F48">
        <v>271</v>
      </c>
      <c r="G48">
        <v>498</v>
      </c>
      <c r="H48">
        <v>1</v>
      </c>
      <c r="Q48">
        <v>1</v>
      </c>
      <c r="S48">
        <v>1</v>
      </c>
      <c r="T48">
        <v>1</v>
      </c>
      <c r="Y48">
        <f t="shared" si="0"/>
        <v>1132.02</v>
      </c>
      <c r="Z48">
        <f t="shared" si="1"/>
        <v>159.98000000000002</v>
      </c>
      <c r="AA48" s="10">
        <f t="shared" si="2"/>
        <v>0.12382352941176472</v>
      </c>
    </row>
    <row r="49" spans="1:29" x14ac:dyDescent="0.25">
      <c r="A49" s="3">
        <v>44246</v>
      </c>
      <c r="B49" t="s">
        <v>20</v>
      </c>
      <c r="C49" s="12" t="s">
        <v>47</v>
      </c>
      <c r="D49" t="s">
        <v>84</v>
      </c>
      <c r="E49">
        <f>(2562+150)*0.9</f>
        <v>2440.8000000000002</v>
      </c>
      <c r="F49">
        <f>117+34+50 + 40</f>
        <v>241</v>
      </c>
      <c r="G49">
        <f>791+200</f>
        <v>991</v>
      </c>
      <c r="H49">
        <v>1</v>
      </c>
      <c r="Q49">
        <v>1</v>
      </c>
      <c r="V49">
        <v>1</v>
      </c>
      <c r="Y49">
        <f t="shared" si="0"/>
        <v>1890.7080000000001</v>
      </c>
      <c r="Z49">
        <f t="shared" si="1"/>
        <v>550.0920000000001</v>
      </c>
      <c r="AA49" s="10">
        <f t="shared" si="2"/>
        <v>0.22537364798426748</v>
      </c>
    </row>
    <row r="50" spans="1:29" x14ac:dyDescent="0.25">
      <c r="A50" s="3">
        <v>44246</v>
      </c>
      <c r="B50" t="s">
        <v>20</v>
      </c>
      <c r="C50" s="12" t="s">
        <v>48</v>
      </c>
      <c r="D50" t="s">
        <v>87</v>
      </c>
      <c r="E50">
        <v>362</v>
      </c>
      <c r="F50">
        <v>62</v>
      </c>
      <c r="G50">
        <v>90</v>
      </c>
      <c r="H50">
        <v>1</v>
      </c>
      <c r="Q50">
        <v>1</v>
      </c>
      <c r="Y50">
        <f t="shared" si="0"/>
        <v>252.32</v>
      </c>
      <c r="Z50">
        <f t="shared" si="1"/>
        <v>109.68</v>
      </c>
      <c r="AA50" s="10">
        <f t="shared" si="2"/>
        <v>0.30298342541436468</v>
      </c>
    </row>
    <row r="51" spans="1:29" x14ac:dyDescent="0.25">
      <c r="A51" s="3">
        <v>44243</v>
      </c>
      <c r="B51" t="s">
        <v>31</v>
      </c>
      <c r="C51" s="12" t="s">
        <v>21</v>
      </c>
      <c r="D51" t="s">
        <v>92</v>
      </c>
      <c r="E51">
        <v>2665</v>
      </c>
      <c r="F51">
        <f>332+65+35</f>
        <v>432</v>
      </c>
      <c r="G51">
        <v>1135</v>
      </c>
      <c r="H51">
        <v>1</v>
      </c>
      <c r="Q51">
        <v>1</v>
      </c>
      <c r="R51">
        <v>1</v>
      </c>
      <c r="S51">
        <v>1</v>
      </c>
      <c r="T51">
        <v>1</v>
      </c>
      <c r="U51">
        <v>1</v>
      </c>
      <c r="Y51">
        <f t="shared" si="0"/>
        <v>2303.1</v>
      </c>
      <c r="Z51">
        <f t="shared" si="1"/>
        <v>361.90000000000009</v>
      </c>
      <c r="AA51" s="10">
        <f t="shared" si="2"/>
        <v>0.13579737335834899</v>
      </c>
    </row>
    <row r="52" spans="1:29" x14ac:dyDescent="0.25">
      <c r="A52" s="3">
        <v>44221</v>
      </c>
      <c r="B52" t="s">
        <v>31</v>
      </c>
      <c r="C52" s="12" t="s">
        <v>48</v>
      </c>
      <c r="D52" t="s">
        <v>49</v>
      </c>
      <c r="E52">
        <v>3683</v>
      </c>
      <c r="F52">
        <f>550+140*2+138+55</f>
        <v>1023</v>
      </c>
      <c r="G52">
        <v>916</v>
      </c>
      <c r="H52">
        <v>1</v>
      </c>
      <c r="Q52">
        <v>1</v>
      </c>
      <c r="R52">
        <v>1</v>
      </c>
      <c r="S52">
        <v>1</v>
      </c>
      <c r="X52">
        <v>1</v>
      </c>
      <c r="Y52">
        <f t="shared" si="0"/>
        <v>2998.88</v>
      </c>
      <c r="Z52">
        <f t="shared" si="1"/>
        <v>684.11999999999989</v>
      </c>
      <c r="AA52" s="10">
        <f t="shared" si="2"/>
        <v>0.18575074667390712</v>
      </c>
    </row>
    <row r="53" spans="1:29" x14ac:dyDescent="0.25">
      <c r="A53" s="3">
        <v>44253</v>
      </c>
      <c r="B53" t="s">
        <v>20</v>
      </c>
      <c r="C53" s="12" t="s">
        <v>48</v>
      </c>
      <c r="D53" t="s">
        <v>91</v>
      </c>
      <c r="E53">
        <v>4973</v>
      </c>
      <c r="F53">
        <f>701+33+34</f>
        <v>768</v>
      </c>
      <c r="G53">
        <v>1749</v>
      </c>
      <c r="H53">
        <v>1</v>
      </c>
      <c r="Q53">
        <v>1</v>
      </c>
      <c r="R53">
        <v>1</v>
      </c>
      <c r="U53">
        <v>1</v>
      </c>
      <c r="Y53">
        <f t="shared" si="0"/>
        <v>3886.78</v>
      </c>
      <c r="Z53">
        <f t="shared" si="1"/>
        <v>1086.2199999999998</v>
      </c>
      <c r="AA53" s="10">
        <f t="shared" si="2"/>
        <v>0.21842348682887588</v>
      </c>
    </row>
    <row r="54" spans="1:29" ht="17.100000000000001" customHeight="1" x14ac:dyDescent="0.25">
      <c r="A54" s="3">
        <v>44251</v>
      </c>
      <c r="B54" t="s">
        <v>31</v>
      </c>
      <c r="C54" s="12" t="s">
        <v>21</v>
      </c>
      <c r="D54" t="s">
        <v>76</v>
      </c>
      <c r="E54">
        <v>840</v>
      </c>
      <c r="F54">
        <v>40</v>
      </c>
      <c r="G54">
        <v>343</v>
      </c>
      <c r="H54">
        <v>1</v>
      </c>
      <c r="Y54">
        <f t="shared" si="0"/>
        <v>605.4</v>
      </c>
      <c r="Z54">
        <f t="shared" si="1"/>
        <v>234.60000000000002</v>
      </c>
      <c r="AA54" s="10">
        <f t="shared" si="2"/>
        <v>0.2792857142857143</v>
      </c>
    </row>
    <row r="55" spans="1:29" x14ac:dyDescent="0.25">
      <c r="A55" s="3">
        <v>44259</v>
      </c>
      <c r="B55" t="s">
        <v>31</v>
      </c>
      <c r="C55" s="12" t="s">
        <v>31</v>
      </c>
      <c r="D55" t="s">
        <v>96</v>
      </c>
      <c r="E55">
        <v>300</v>
      </c>
      <c r="F55">
        <v>56</v>
      </c>
      <c r="G55">
        <v>100</v>
      </c>
      <c r="H55">
        <v>1</v>
      </c>
      <c r="Y55">
        <f t="shared" si="0"/>
        <v>239.60000000000002</v>
      </c>
      <c r="Z55">
        <f t="shared" si="1"/>
        <v>60.399999999999977</v>
      </c>
      <c r="AA55" s="10">
        <f t="shared" si="2"/>
        <v>0.20133333333333325</v>
      </c>
    </row>
    <row r="56" spans="1:29" x14ac:dyDescent="0.25">
      <c r="A56" s="3">
        <v>44256</v>
      </c>
      <c r="B56" t="s">
        <v>31</v>
      </c>
      <c r="C56" s="12" t="s">
        <v>47</v>
      </c>
      <c r="D56" t="s">
        <v>66</v>
      </c>
      <c r="E56">
        <v>2700</v>
      </c>
      <c r="F56">
        <v>255</v>
      </c>
      <c r="G56">
        <v>699</v>
      </c>
      <c r="H56">
        <v>1</v>
      </c>
      <c r="Q56">
        <v>1</v>
      </c>
      <c r="R56">
        <v>1</v>
      </c>
      <c r="X56">
        <v>1</v>
      </c>
      <c r="Y56">
        <f t="shared" si="0"/>
        <v>1681.5</v>
      </c>
      <c r="Z56">
        <f t="shared" si="1"/>
        <v>1018.5</v>
      </c>
      <c r="AA56" s="10">
        <f t="shared" si="2"/>
        <v>0.37722222222222224</v>
      </c>
    </row>
    <row r="57" spans="1:29" x14ac:dyDescent="0.25">
      <c r="A57" s="3">
        <v>44257</v>
      </c>
      <c r="B57" t="s">
        <v>31</v>
      </c>
      <c r="C57" s="12" t="s">
        <v>47</v>
      </c>
      <c r="D57" t="s">
        <v>94</v>
      </c>
      <c r="E57">
        <v>1620</v>
      </c>
      <c r="F57">
        <f>263+70</f>
        <v>333</v>
      </c>
      <c r="G57">
        <v>901</v>
      </c>
      <c r="H57">
        <v>1</v>
      </c>
      <c r="Q57">
        <v>1</v>
      </c>
      <c r="S57">
        <v>1</v>
      </c>
      <c r="Y57">
        <f t="shared" si="0"/>
        <v>1688.5</v>
      </c>
      <c r="Z57">
        <f t="shared" si="1"/>
        <v>-68.5</v>
      </c>
      <c r="AA57" s="10">
        <f t="shared" si="2"/>
        <v>-4.2283950617283954E-2</v>
      </c>
    </row>
    <row r="58" spans="1:29" x14ac:dyDescent="0.25">
      <c r="A58" s="3">
        <v>44258</v>
      </c>
      <c r="B58" t="s">
        <v>20</v>
      </c>
      <c r="C58" s="12" t="s">
        <v>21</v>
      </c>
      <c r="D58" t="s">
        <v>95</v>
      </c>
      <c r="E58">
        <f>5132*0.95</f>
        <v>4875.3999999999996</v>
      </c>
      <c r="F58">
        <f>470+72+100</f>
        <v>642</v>
      </c>
      <c r="G58">
        <v>1685</v>
      </c>
      <c r="H58">
        <v>1</v>
      </c>
      <c r="Q58">
        <v>1</v>
      </c>
      <c r="R58">
        <v>1</v>
      </c>
      <c r="S58">
        <v>1</v>
      </c>
      <c r="Y58">
        <f t="shared" si="0"/>
        <v>3658.8040000000001</v>
      </c>
      <c r="Z58">
        <f t="shared" si="1"/>
        <v>1216.5959999999995</v>
      </c>
      <c r="AA58" s="10">
        <f t="shared" si="2"/>
        <v>0.24953767895967502</v>
      </c>
    </row>
    <row r="59" spans="1:29" x14ac:dyDescent="0.25">
      <c r="A59" s="3">
        <v>44261</v>
      </c>
      <c r="B59" t="s">
        <v>20</v>
      </c>
      <c r="C59" s="12" t="s">
        <v>21</v>
      </c>
      <c r="D59" t="s">
        <v>61</v>
      </c>
      <c r="E59">
        <v>4013</v>
      </c>
      <c r="F59">
        <v>157</v>
      </c>
      <c r="G59">
        <f>885+450</f>
        <v>1335</v>
      </c>
      <c r="H59">
        <v>1</v>
      </c>
      <c r="V59">
        <v>1</v>
      </c>
      <c r="Y59">
        <f t="shared" si="0"/>
        <v>2551.08</v>
      </c>
      <c r="Z59">
        <f t="shared" si="1"/>
        <v>1461.92</v>
      </c>
      <c r="AA59" s="10">
        <f t="shared" si="2"/>
        <v>0.36429603787690007</v>
      </c>
    </row>
    <row r="60" spans="1:29" x14ac:dyDescent="0.25">
      <c r="A60" s="3">
        <v>44266</v>
      </c>
      <c r="B60" t="s">
        <v>20</v>
      </c>
      <c r="C60" s="12" t="s">
        <v>21</v>
      </c>
      <c r="D60" t="s">
        <v>101</v>
      </c>
      <c r="E60">
        <v>951</v>
      </c>
      <c r="F60">
        <v>150</v>
      </c>
      <c r="G60">
        <v>347</v>
      </c>
      <c r="H60">
        <v>1</v>
      </c>
      <c r="Q60">
        <v>1</v>
      </c>
      <c r="R60">
        <v>1</v>
      </c>
      <c r="S60">
        <v>1</v>
      </c>
      <c r="Y60">
        <f t="shared" si="0"/>
        <v>759.26</v>
      </c>
      <c r="Z60">
        <f t="shared" si="1"/>
        <v>191.74</v>
      </c>
      <c r="AA60" s="10">
        <f t="shared" si="2"/>
        <v>0.20161934805467929</v>
      </c>
      <c r="AB60">
        <v>1</v>
      </c>
    </row>
    <row r="61" spans="1:29" x14ac:dyDescent="0.25">
      <c r="A61" s="3">
        <v>44266</v>
      </c>
      <c r="B61" t="s">
        <v>20</v>
      </c>
      <c r="C61" s="12" t="s">
        <v>102</v>
      </c>
      <c r="D61" t="s">
        <v>40</v>
      </c>
      <c r="E61">
        <v>879</v>
      </c>
      <c r="F61">
        <v>92</v>
      </c>
      <c r="G61">
        <v>196</v>
      </c>
      <c r="H61">
        <v>1</v>
      </c>
      <c r="R61">
        <v>1</v>
      </c>
      <c r="Y61">
        <f t="shared" si="0"/>
        <v>525.74</v>
      </c>
      <c r="Z61">
        <f t="shared" si="1"/>
        <v>353.26</v>
      </c>
      <c r="AA61" s="10">
        <f t="shared" si="2"/>
        <v>0.40188850967007961</v>
      </c>
    </row>
    <row r="62" spans="1:29" x14ac:dyDescent="0.25">
      <c r="A62" s="3">
        <v>44264</v>
      </c>
      <c r="B62" t="s">
        <v>31</v>
      </c>
      <c r="C62" s="12" t="s">
        <v>21</v>
      </c>
      <c r="D62" t="s">
        <v>99</v>
      </c>
      <c r="E62">
        <v>2805</v>
      </c>
      <c r="F62">
        <f>90+188+90</f>
        <v>368</v>
      </c>
      <c r="G62">
        <v>1054</v>
      </c>
      <c r="H62">
        <v>1</v>
      </c>
      <c r="Q62">
        <v>1</v>
      </c>
      <c r="R62">
        <v>1</v>
      </c>
      <c r="Y62">
        <f t="shared" si="0"/>
        <v>2188.1</v>
      </c>
      <c r="Z62">
        <f t="shared" si="1"/>
        <v>616.90000000000009</v>
      </c>
      <c r="AA62" s="10">
        <f t="shared" si="2"/>
        <v>0.2199286987522282</v>
      </c>
    </row>
    <row r="63" spans="1:29" x14ac:dyDescent="0.25">
      <c r="A63" s="3">
        <v>44266</v>
      </c>
      <c r="B63" t="s">
        <v>31</v>
      </c>
      <c r="C63" s="12" t="s">
        <v>31</v>
      </c>
      <c r="D63" t="s">
        <v>100</v>
      </c>
      <c r="E63">
        <v>4775</v>
      </c>
      <c r="F63">
        <f>600+33+88+34</f>
        <v>755</v>
      </c>
      <c r="G63">
        <v>1027</v>
      </c>
      <c r="H63">
        <v>1</v>
      </c>
      <c r="Q63">
        <v>1</v>
      </c>
      <c r="R63">
        <v>1</v>
      </c>
      <c r="S63">
        <v>1</v>
      </c>
      <c r="T63">
        <v>1</v>
      </c>
      <c r="Y63">
        <f t="shared" si="0"/>
        <v>3099</v>
      </c>
      <c r="Z63">
        <f t="shared" si="1"/>
        <v>1676</v>
      </c>
      <c r="AA63" s="10">
        <f t="shared" si="2"/>
        <v>0.35099476439790578</v>
      </c>
      <c r="AC63" s="5"/>
    </row>
    <row r="64" spans="1:29" x14ac:dyDescent="0.25">
      <c r="A64" s="3">
        <v>44265</v>
      </c>
      <c r="B64" t="s">
        <v>31</v>
      </c>
      <c r="C64" s="12" t="s">
        <v>47</v>
      </c>
      <c r="D64" t="s">
        <v>97</v>
      </c>
      <c r="E64">
        <v>4780</v>
      </c>
      <c r="F64">
        <v>554</v>
      </c>
      <c r="G64">
        <v>1199</v>
      </c>
      <c r="H64">
        <v>1</v>
      </c>
      <c r="Q64">
        <v>1</v>
      </c>
      <c r="S64">
        <v>1</v>
      </c>
      <c r="T64">
        <v>1</v>
      </c>
      <c r="Y64">
        <f t="shared" si="0"/>
        <v>3051.2</v>
      </c>
      <c r="Z64">
        <f t="shared" si="1"/>
        <v>1728.8000000000002</v>
      </c>
      <c r="AA64" s="10">
        <f t="shared" si="2"/>
        <v>0.36167364016736403</v>
      </c>
    </row>
    <row r="65" spans="1:27" x14ac:dyDescent="0.25">
      <c r="A65" s="3">
        <v>44270</v>
      </c>
      <c r="B65" t="s">
        <v>20</v>
      </c>
      <c r="C65" s="12" t="s">
        <v>34</v>
      </c>
      <c r="D65" t="s">
        <v>106</v>
      </c>
      <c r="E65">
        <v>727</v>
      </c>
      <c r="F65">
        <v>50</v>
      </c>
      <c r="G65">
        <v>230</v>
      </c>
      <c r="H65">
        <v>1</v>
      </c>
      <c r="R65">
        <v>1</v>
      </c>
      <c r="T65">
        <v>1</v>
      </c>
      <c r="Y65">
        <f t="shared" si="0"/>
        <v>474.02</v>
      </c>
      <c r="Z65">
        <f t="shared" si="1"/>
        <v>252.98000000000002</v>
      </c>
      <c r="AA65" s="10">
        <f t="shared" si="2"/>
        <v>0.34797799174690514</v>
      </c>
    </row>
    <row r="66" spans="1:27" x14ac:dyDescent="0.25">
      <c r="A66" s="3">
        <v>44273</v>
      </c>
      <c r="B66" t="s">
        <v>20</v>
      </c>
      <c r="C66" s="12" t="s">
        <v>48</v>
      </c>
      <c r="D66" t="s">
        <v>103</v>
      </c>
      <c r="E66">
        <f>(3601+125)*0.9</f>
        <v>3353.4</v>
      </c>
      <c r="F66">
        <f>490+33</f>
        <v>523</v>
      </c>
      <c r="G66">
        <v>1100</v>
      </c>
      <c r="H66">
        <v>1</v>
      </c>
      <c r="Q66">
        <v>1</v>
      </c>
      <c r="R66">
        <v>1</v>
      </c>
      <c r="S66">
        <v>1</v>
      </c>
      <c r="U66">
        <v>1</v>
      </c>
      <c r="Y66">
        <f t="shared" ref="Y66:Y129" si="3">G66+F66*1.1+E66*0.26</f>
        <v>2547.1840000000002</v>
      </c>
      <c r="Z66">
        <f t="shared" ref="Z66:Z129" si="4">E66-Y66</f>
        <v>806.21599999999989</v>
      </c>
      <c r="AA66" s="10">
        <f t="shared" ref="AA66:AA129" si="5">Z66/E66</f>
        <v>0.24041748672988605</v>
      </c>
    </row>
    <row r="67" spans="1:27" x14ac:dyDescent="0.25">
      <c r="A67" s="3">
        <v>44273</v>
      </c>
      <c r="B67" t="s">
        <v>30</v>
      </c>
      <c r="C67" s="12" t="s">
        <v>34</v>
      </c>
      <c r="D67" t="s">
        <v>110</v>
      </c>
      <c r="E67">
        <v>1138</v>
      </c>
      <c r="F67">
        <v>170</v>
      </c>
      <c r="G67">
        <v>361</v>
      </c>
      <c r="H67">
        <v>1</v>
      </c>
      <c r="Q67">
        <v>1</v>
      </c>
      <c r="R67">
        <v>1</v>
      </c>
      <c r="S67">
        <v>1</v>
      </c>
      <c r="T67">
        <v>1</v>
      </c>
      <c r="Y67">
        <f t="shared" si="3"/>
        <v>843.88</v>
      </c>
      <c r="Z67">
        <f t="shared" si="4"/>
        <v>294.12</v>
      </c>
      <c r="AA67" s="10">
        <f t="shared" si="5"/>
        <v>0.25845342706502639</v>
      </c>
    </row>
    <row r="68" spans="1:27" x14ac:dyDescent="0.25">
      <c r="A68" s="3">
        <v>44274</v>
      </c>
      <c r="B68" t="s">
        <v>20</v>
      </c>
      <c r="C68" s="12" t="s">
        <v>48</v>
      </c>
      <c r="D68" t="s">
        <v>109</v>
      </c>
      <c r="E68">
        <v>720</v>
      </c>
      <c r="F68">
        <v>135</v>
      </c>
      <c r="G68">
        <v>330</v>
      </c>
      <c r="H68">
        <v>1</v>
      </c>
      <c r="Q68">
        <v>1</v>
      </c>
      <c r="Y68">
        <f t="shared" si="3"/>
        <v>665.7</v>
      </c>
      <c r="Z68">
        <f t="shared" si="4"/>
        <v>54.299999999999955</v>
      </c>
      <c r="AA68" s="10">
        <f t="shared" si="5"/>
        <v>7.5416666666666604E-2</v>
      </c>
    </row>
    <row r="69" spans="1:27" x14ac:dyDescent="0.25">
      <c r="A69" s="3">
        <v>44274</v>
      </c>
      <c r="B69" t="s">
        <v>31</v>
      </c>
      <c r="C69" s="12" t="s">
        <v>21</v>
      </c>
      <c r="D69" t="s">
        <v>111</v>
      </c>
      <c r="E69">
        <v>1750</v>
      </c>
      <c r="F69">
        <v>200</v>
      </c>
      <c r="G69">
        <v>414</v>
      </c>
      <c r="H69">
        <v>1</v>
      </c>
      <c r="R69">
        <v>1</v>
      </c>
      <c r="Y69">
        <f t="shared" si="3"/>
        <v>1089</v>
      </c>
      <c r="Z69">
        <f t="shared" si="4"/>
        <v>661</v>
      </c>
      <c r="AA69" s="10">
        <f t="shared" si="5"/>
        <v>0.37771428571428572</v>
      </c>
    </row>
    <row r="70" spans="1:27" x14ac:dyDescent="0.25">
      <c r="A70" s="3">
        <v>44273</v>
      </c>
      <c r="B70" t="s">
        <v>31</v>
      </c>
      <c r="C70" s="12" t="s">
        <v>47</v>
      </c>
      <c r="D70" t="s">
        <v>44</v>
      </c>
      <c r="E70">
        <v>1725</v>
      </c>
      <c r="F70">
        <f>30+323</f>
        <v>353</v>
      </c>
      <c r="G70">
        <v>856</v>
      </c>
      <c r="H70">
        <v>1</v>
      </c>
      <c r="Q70">
        <v>1</v>
      </c>
      <c r="R70">
        <v>1</v>
      </c>
      <c r="Y70">
        <f t="shared" si="3"/>
        <v>1692.8</v>
      </c>
      <c r="Z70">
        <f t="shared" si="4"/>
        <v>32.200000000000045</v>
      </c>
      <c r="AA70" s="10">
        <f t="shared" si="5"/>
        <v>1.8666666666666692E-2</v>
      </c>
    </row>
    <row r="71" spans="1:27" x14ac:dyDescent="0.25">
      <c r="A71" s="3">
        <v>44279</v>
      </c>
      <c r="B71" t="s">
        <v>31</v>
      </c>
      <c r="C71" s="12" t="s">
        <v>47</v>
      </c>
      <c r="D71" t="s">
        <v>98</v>
      </c>
      <c r="E71">
        <v>9500</v>
      </c>
      <c r="F71">
        <f>1090+170+68+34+309+34</f>
        <v>1705</v>
      </c>
      <c r="G71">
        <v>3642</v>
      </c>
      <c r="H71">
        <v>1</v>
      </c>
      <c r="Q71">
        <v>1</v>
      </c>
      <c r="R71">
        <v>1</v>
      </c>
      <c r="Y71">
        <f t="shared" si="3"/>
        <v>7987.5</v>
      </c>
      <c r="Z71">
        <f t="shared" si="4"/>
        <v>1512.5</v>
      </c>
      <c r="AA71" s="10">
        <f t="shared" si="5"/>
        <v>0.15921052631578947</v>
      </c>
    </row>
    <row r="72" spans="1:27" x14ac:dyDescent="0.25">
      <c r="A72" s="3">
        <v>44275</v>
      </c>
      <c r="B72" t="s">
        <v>20</v>
      </c>
      <c r="C72" s="12" t="s">
        <v>21</v>
      </c>
      <c r="D72" t="s">
        <v>82</v>
      </c>
      <c r="E72">
        <v>1346</v>
      </c>
      <c r="F72">
        <f>170+67</f>
        <v>237</v>
      </c>
      <c r="G72">
        <v>521</v>
      </c>
      <c r="H72">
        <v>1</v>
      </c>
      <c r="Q72">
        <v>1</v>
      </c>
      <c r="T72">
        <v>1</v>
      </c>
      <c r="Y72">
        <f t="shared" si="3"/>
        <v>1131.6600000000001</v>
      </c>
      <c r="Z72">
        <f t="shared" si="4"/>
        <v>214.33999999999992</v>
      </c>
      <c r="AA72" s="10">
        <f t="shared" si="5"/>
        <v>0.15924219910846948</v>
      </c>
    </row>
    <row r="73" spans="1:27" x14ac:dyDescent="0.25">
      <c r="A73" s="3">
        <v>44280</v>
      </c>
      <c r="B73" t="s">
        <v>20</v>
      </c>
      <c r="C73" s="12" t="s">
        <v>21</v>
      </c>
      <c r="D73" t="s">
        <v>107</v>
      </c>
      <c r="E73">
        <v>1087</v>
      </c>
      <c r="F73">
        <f>203+34</f>
        <v>237</v>
      </c>
      <c r="G73">
        <v>353</v>
      </c>
      <c r="H73">
        <v>1</v>
      </c>
      <c r="Q73">
        <v>1</v>
      </c>
      <c r="S73">
        <v>1</v>
      </c>
      <c r="W73">
        <v>1</v>
      </c>
      <c r="Y73">
        <f t="shared" si="3"/>
        <v>896.32</v>
      </c>
      <c r="Z73">
        <f t="shared" si="4"/>
        <v>190.67999999999995</v>
      </c>
      <c r="AA73" s="10">
        <f t="shared" si="5"/>
        <v>0.17541858325666967</v>
      </c>
    </row>
    <row r="74" spans="1:27" x14ac:dyDescent="0.25">
      <c r="A74" s="3">
        <v>44277</v>
      </c>
      <c r="B74" t="s">
        <v>31</v>
      </c>
      <c r="C74" s="12" t="s">
        <v>21</v>
      </c>
      <c r="D74" t="s">
        <v>108</v>
      </c>
      <c r="E74">
        <v>3961</v>
      </c>
      <c r="F74">
        <f>460+97+67+34</f>
        <v>658</v>
      </c>
      <c r="G74">
        <v>1661</v>
      </c>
      <c r="H74">
        <v>1</v>
      </c>
      <c r="Q74">
        <v>1</v>
      </c>
      <c r="R74">
        <v>1</v>
      </c>
      <c r="U74">
        <v>1</v>
      </c>
      <c r="Y74">
        <f t="shared" si="3"/>
        <v>3414.6600000000003</v>
      </c>
      <c r="Z74">
        <f t="shared" si="4"/>
        <v>546.33999999999969</v>
      </c>
      <c r="AA74" s="10">
        <f t="shared" si="5"/>
        <v>0.1379298157031052</v>
      </c>
    </row>
    <row r="75" spans="1:27" x14ac:dyDescent="0.25">
      <c r="A75" s="3">
        <v>44280</v>
      </c>
      <c r="B75" t="s">
        <v>31</v>
      </c>
      <c r="C75" s="12" t="s">
        <v>20</v>
      </c>
      <c r="D75" t="s">
        <v>106</v>
      </c>
      <c r="E75">
        <v>1500</v>
      </c>
      <c r="F75">
        <v>232</v>
      </c>
      <c r="G75">
        <v>369</v>
      </c>
      <c r="H75">
        <v>1</v>
      </c>
      <c r="Q75">
        <v>1</v>
      </c>
      <c r="R75">
        <v>1</v>
      </c>
      <c r="Y75">
        <f t="shared" si="3"/>
        <v>1014.2</v>
      </c>
      <c r="Z75">
        <f t="shared" si="4"/>
        <v>485.79999999999995</v>
      </c>
      <c r="AA75" s="10">
        <f t="shared" si="5"/>
        <v>0.32386666666666664</v>
      </c>
    </row>
    <row r="76" spans="1:27" x14ac:dyDescent="0.25">
      <c r="A76" s="3">
        <v>44281</v>
      </c>
      <c r="B76" t="s">
        <v>20</v>
      </c>
      <c r="C76" s="12" t="s">
        <v>48</v>
      </c>
      <c r="D76" t="s">
        <v>113</v>
      </c>
      <c r="E76">
        <v>2363</v>
      </c>
      <c r="F76">
        <f>400+130</f>
        <v>530</v>
      </c>
      <c r="G76">
        <v>890</v>
      </c>
      <c r="H76">
        <v>1</v>
      </c>
      <c r="Q76">
        <v>1</v>
      </c>
      <c r="R76">
        <v>1</v>
      </c>
      <c r="Y76">
        <f t="shared" si="3"/>
        <v>2087.38</v>
      </c>
      <c r="Z76">
        <f t="shared" si="4"/>
        <v>275.61999999999989</v>
      </c>
      <c r="AA76" s="10">
        <f t="shared" si="5"/>
        <v>0.11663986457892504</v>
      </c>
    </row>
    <row r="77" spans="1:27" x14ac:dyDescent="0.25">
      <c r="A77" s="3">
        <v>44281</v>
      </c>
      <c r="B77" t="s">
        <v>20</v>
      </c>
      <c r="C77" s="12" t="s">
        <v>48</v>
      </c>
      <c r="D77" t="s">
        <v>112</v>
      </c>
      <c r="E77">
        <v>3000</v>
      </c>
      <c r="F77">
        <v>157</v>
      </c>
      <c r="G77">
        <v>1000</v>
      </c>
      <c r="H77">
        <v>1</v>
      </c>
      <c r="V77">
        <v>1</v>
      </c>
      <c r="Y77">
        <f t="shared" si="3"/>
        <v>1952.7</v>
      </c>
      <c r="Z77">
        <f t="shared" si="4"/>
        <v>1047.3</v>
      </c>
      <c r="AA77" s="10">
        <f t="shared" si="5"/>
        <v>0.34909999999999997</v>
      </c>
    </row>
    <row r="78" spans="1:27" x14ac:dyDescent="0.25">
      <c r="A78" s="3">
        <v>44278</v>
      </c>
      <c r="B78" t="s">
        <v>30</v>
      </c>
      <c r="C78" s="12" t="s">
        <v>30</v>
      </c>
      <c r="D78" t="s">
        <v>114</v>
      </c>
      <c r="E78">
        <v>325</v>
      </c>
      <c r="F78">
        <v>110</v>
      </c>
      <c r="G78">
        <v>79</v>
      </c>
      <c r="Y78">
        <f t="shared" si="3"/>
        <v>284.5</v>
      </c>
      <c r="Z78">
        <f t="shared" si="4"/>
        <v>40.5</v>
      </c>
      <c r="AA78" s="10">
        <f t="shared" si="5"/>
        <v>0.12461538461538461</v>
      </c>
    </row>
    <row r="79" spans="1:27" x14ac:dyDescent="0.25">
      <c r="A79" s="3">
        <v>44284</v>
      </c>
      <c r="B79" t="s">
        <v>20</v>
      </c>
      <c r="C79" s="12" t="s">
        <v>47</v>
      </c>
      <c r="D79" t="s">
        <v>115</v>
      </c>
      <c r="E79">
        <v>2100</v>
      </c>
      <c r="F79">
        <v>227</v>
      </c>
      <c r="G79">
        <v>913</v>
      </c>
      <c r="O79">
        <v>1</v>
      </c>
      <c r="Y79">
        <f t="shared" si="3"/>
        <v>1708.7</v>
      </c>
      <c r="Z79">
        <f t="shared" si="4"/>
        <v>391.29999999999995</v>
      </c>
      <c r="AA79" s="10">
        <f t="shared" si="5"/>
        <v>0.18633333333333332</v>
      </c>
    </row>
    <row r="80" spans="1:27" x14ac:dyDescent="0.25">
      <c r="A80" s="3">
        <v>44284</v>
      </c>
      <c r="B80" t="s">
        <v>30</v>
      </c>
      <c r="C80" s="12" t="s">
        <v>34</v>
      </c>
      <c r="D80" t="s">
        <v>117</v>
      </c>
      <c r="E80">
        <v>670</v>
      </c>
      <c r="F80">
        <v>70</v>
      </c>
      <c r="G80">
        <v>387</v>
      </c>
      <c r="P80">
        <v>1</v>
      </c>
      <c r="Y80">
        <f t="shared" si="3"/>
        <v>638.20000000000005</v>
      </c>
      <c r="Z80">
        <f t="shared" si="4"/>
        <v>31.799999999999955</v>
      </c>
      <c r="AA80" s="10">
        <f t="shared" si="5"/>
        <v>4.7462686567164111E-2</v>
      </c>
    </row>
    <row r="81" spans="1:27" x14ac:dyDescent="0.25">
      <c r="A81" s="3">
        <v>44285</v>
      </c>
      <c r="B81" t="s">
        <v>20</v>
      </c>
      <c r="C81" s="12" t="s">
        <v>34</v>
      </c>
      <c r="D81" t="s">
        <v>118</v>
      </c>
      <c r="E81">
        <v>253</v>
      </c>
      <c r="F81">
        <v>39</v>
      </c>
      <c r="G81">
        <v>130</v>
      </c>
      <c r="P81">
        <v>1</v>
      </c>
      <c r="Y81">
        <f t="shared" si="3"/>
        <v>238.68</v>
      </c>
      <c r="Z81">
        <f t="shared" si="4"/>
        <v>14.319999999999993</v>
      </c>
      <c r="AA81" s="10">
        <f t="shared" si="5"/>
        <v>5.6600790513833966E-2</v>
      </c>
    </row>
    <row r="82" spans="1:27" x14ac:dyDescent="0.25">
      <c r="A82" s="7">
        <v>44287</v>
      </c>
      <c r="B82" s="6" t="s">
        <v>31</v>
      </c>
      <c r="C82" s="13" t="s">
        <v>47</v>
      </c>
      <c r="D82" s="6" t="s">
        <v>122</v>
      </c>
      <c r="E82" s="6">
        <v>1350</v>
      </c>
      <c r="F82" s="6">
        <v>160</v>
      </c>
      <c r="G82">
        <v>500</v>
      </c>
      <c r="H82">
        <v>1</v>
      </c>
      <c r="T82">
        <v>1</v>
      </c>
      <c r="V82">
        <v>1</v>
      </c>
      <c r="Y82">
        <f t="shared" si="3"/>
        <v>1027</v>
      </c>
      <c r="Z82">
        <f t="shared" si="4"/>
        <v>323</v>
      </c>
      <c r="AA82" s="10">
        <f t="shared" si="5"/>
        <v>0.23925925925925925</v>
      </c>
    </row>
    <row r="83" spans="1:27" x14ac:dyDescent="0.25">
      <c r="A83" s="3">
        <v>44287</v>
      </c>
      <c r="B83" t="s">
        <v>31</v>
      </c>
      <c r="C83" s="12" t="s">
        <v>47</v>
      </c>
      <c r="D83" t="s">
        <v>104</v>
      </c>
      <c r="E83">
        <v>4369</v>
      </c>
      <c r="F83">
        <f>200+188+18+115+48</f>
        <v>569</v>
      </c>
      <c r="G83">
        <v>1973</v>
      </c>
      <c r="H83">
        <v>1</v>
      </c>
      <c r="Q83">
        <v>1</v>
      </c>
      <c r="R83">
        <v>1</v>
      </c>
      <c r="X83">
        <v>1</v>
      </c>
      <c r="Y83">
        <f t="shared" si="3"/>
        <v>3734.84</v>
      </c>
      <c r="Z83">
        <f t="shared" si="4"/>
        <v>634.15999999999985</v>
      </c>
      <c r="AA83" s="10">
        <f t="shared" si="5"/>
        <v>0.14514991989013501</v>
      </c>
    </row>
    <row r="84" spans="1:27" x14ac:dyDescent="0.25">
      <c r="A84" s="3">
        <v>44284</v>
      </c>
      <c r="B84" t="s">
        <v>20</v>
      </c>
      <c r="C84" s="12" t="s">
        <v>48</v>
      </c>
      <c r="D84" t="s">
        <v>116</v>
      </c>
      <c r="E84">
        <v>2940</v>
      </c>
      <c r="F84">
        <v>117</v>
      </c>
      <c r="G84">
        <v>900</v>
      </c>
      <c r="H84">
        <v>1</v>
      </c>
      <c r="V84">
        <v>1</v>
      </c>
      <c r="Y84">
        <f t="shared" si="3"/>
        <v>1793.1</v>
      </c>
      <c r="Z84">
        <f t="shared" si="4"/>
        <v>1146.9000000000001</v>
      </c>
      <c r="AA84" s="10">
        <f t="shared" si="5"/>
        <v>0.39010204081632655</v>
      </c>
    </row>
    <row r="85" spans="1:27" x14ac:dyDescent="0.25">
      <c r="A85" s="3">
        <v>44279</v>
      </c>
      <c r="B85" t="s">
        <v>31</v>
      </c>
      <c r="C85" s="12" t="s">
        <v>34</v>
      </c>
      <c r="D85" t="s">
        <v>86</v>
      </c>
      <c r="E85">
        <f>250+1130</f>
        <v>1380</v>
      </c>
      <c r="F85">
        <v>170</v>
      </c>
      <c r="G85">
        <v>393</v>
      </c>
      <c r="Y85">
        <f t="shared" si="3"/>
        <v>938.8</v>
      </c>
      <c r="Z85">
        <f t="shared" si="4"/>
        <v>441.20000000000005</v>
      </c>
      <c r="AA85" s="10">
        <f t="shared" si="5"/>
        <v>0.31971014492753624</v>
      </c>
    </row>
    <row r="86" spans="1:27" x14ac:dyDescent="0.25">
      <c r="A86" s="3">
        <v>44286</v>
      </c>
      <c r="B86" t="s">
        <v>20</v>
      </c>
      <c r="C86" s="12" t="s">
        <v>31</v>
      </c>
      <c r="D86" t="s">
        <v>121</v>
      </c>
      <c r="E86">
        <v>275</v>
      </c>
      <c r="F86">
        <v>60</v>
      </c>
      <c r="G86">
        <v>100</v>
      </c>
      <c r="L86">
        <v>1</v>
      </c>
      <c r="Y86">
        <f t="shared" si="3"/>
        <v>237.5</v>
      </c>
      <c r="Z86">
        <f t="shared" si="4"/>
        <v>37.5</v>
      </c>
      <c r="AA86" s="10">
        <f t="shared" si="5"/>
        <v>0.13636363636363635</v>
      </c>
    </row>
    <row r="87" spans="1:27" x14ac:dyDescent="0.25">
      <c r="A87" s="3">
        <v>44288</v>
      </c>
      <c r="B87" t="s">
        <v>20</v>
      </c>
      <c r="C87" s="12" t="s">
        <v>21</v>
      </c>
      <c r="D87" t="s">
        <v>120</v>
      </c>
      <c r="E87">
        <v>2313</v>
      </c>
      <c r="F87">
        <f>160+195</f>
        <v>355</v>
      </c>
      <c r="G87">
        <v>540</v>
      </c>
      <c r="I87">
        <v>1</v>
      </c>
      <c r="L87">
        <v>1</v>
      </c>
      <c r="Y87">
        <f t="shared" si="3"/>
        <v>1531.88</v>
      </c>
      <c r="Z87">
        <f t="shared" si="4"/>
        <v>781.11999999999989</v>
      </c>
      <c r="AA87" s="10">
        <f t="shared" si="5"/>
        <v>0.3377086035451794</v>
      </c>
    </row>
    <row r="88" spans="1:27" x14ac:dyDescent="0.25">
      <c r="A88" s="3">
        <v>44288</v>
      </c>
      <c r="B88" t="s">
        <v>20</v>
      </c>
      <c r="C88" s="12" t="s">
        <v>48</v>
      </c>
      <c r="D88" t="s">
        <v>119</v>
      </c>
      <c r="E88">
        <v>3689</v>
      </c>
      <c r="F88">
        <f>500+69</f>
        <v>569</v>
      </c>
      <c r="G88">
        <v>1446</v>
      </c>
      <c r="Q88">
        <v>1</v>
      </c>
      <c r="R88">
        <v>1</v>
      </c>
      <c r="S88">
        <v>1</v>
      </c>
      <c r="Y88">
        <f t="shared" si="3"/>
        <v>3031.04</v>
      </c>
      <c r="Z88">
        <f t="shared" si="4"/>
        <v>657.96</v>
      </c>
      <c r="AA88" s="10">
        <f t="shared" si="5"/>
        <v>0.17835727839522908</v>
      </c>
    </row>
    <row r="89" spans="1:27" x14ac:dyDescent="0.25">
      <c r="A89" s="3">
        <v>44293</v>
      </c>
      <c r="B89" t="s">
        <v>20</v>
      </c>
      <c r="C89" s="12" t="s">
        <v>47</v>
      </c>
      <c r="D89" t="s">
        <v>126</v>
      </c>
      <c r="E89">
        <v>766</v>
      </c>
      <c r="F89">
        <v>170</v>
      </c>
      <c r="G89">
        <v>382</v>
      </c>
      <c r="H89">
        <v>1</v>
      </c>
      <c r="Q89">
        <v>1</v>
      </c>
      <c r="Y89">
        <f t="shared" si="3"/>
        <v>768.16</v>
      </c>
      <c r="Z89">
        <f t="shared" si="4"/>
        <v>-2.1599999999999682</v>
      </c>
      <c r="AA89" s="10">
        <f t="shared" si="5"/>
        <v>-2.8198433420365118E-3</v>
      </c>
    </row>
    <row r="90" spans="1:27" x14ac:dyDescent="0.25">
      <c r="A90" s="3">
        <v>44291</v>
      </c>
      <c r="B90" t="s">
        <v>30</v>
      </c>
      <c r="C90" s="12" t="s">
        <v>48</v>
      </c>
      <c r="D90" t="s">
        <v>53</v>
      </c>
      <c r="E90">
        <v>7500</v>
      </c>
      <c r="F90">
        <f>799+570+68+40</f>
        <v>1477</v>
      </c>
      <c r="G90">
        <v>1238</v>
      </c>
      <c r="K90">
        <v>1</v>
      </c>
      <c r="L90">
        <v>1</v>
      </c>
      <c r="Y90">
        <f t="shared" si="3"/>
        <v>4812.7</v>
      </c>
      <c r="Z90">
        <f t="shared" si="4"/>
        <v>2687.3</v>
      </c>
      <c r="AA90" s="10">
        <f t="shared" si="5"/>
        <v>0.35830666666666672</v>
      </c>
    </row>
    <row r="91" spans="1:27" x14ac:dyDescent="0.25">
      <c r="A91" s="3">
        <v>44292</v>
      </c>
      <c r="B91" t="s">
        <v>30</v>
      </c>
      <c r="C91" s="12" t="s">
        <v>34</v>
      </c>
      <c r="D91" t="s">
        <v>125</v>
      </c>
      <c r="E91">
        <f>5100+40</f>
        <v>5140</v>
      </c>
      <c r="F91">
        <f>9+685+114+456+80+114</f>
        <v>1458</v>
      </c>
      <c r="G91">
        <v>1061</v>
      </c>
      <c r="K91">
        <v>1</v>
      </c>
      <c r="Y91">
        <f t="shared" si="3"/>
        <v>4001.2000000000003</v>
      </c>
      <c r="Z91">
        <f t="shared" si="4"/>
        <v>1138.7999999999997</v>
      </c>
      <c r="AA91" s="10">
        <f t="shared" si="5"/>
        <v>0.22155642023346298</v>
      </c>
    </row>
    <row r="92" spans="1:27" x14ac:dyDescent="0.25">
      <c r="A92" s="3">
        <v>44293</v>
      </c>
      <c r="B92" t="s">
        <v>31</v>
      </c>
      <c r="C92" s="12" t="s">
        <v>21</v>
      </c>
      <c r="D92" t="s">
        <v>90</v>
      </c>
      <c r="E92">
        <v>450</v>
      </c>
      <c r="F92">
        <v>40</v>
      </c>
      <c r="G92">
        <v>340</v>
      </c>
      <c r="Y92">
        <f t="shared" si="3"/>
        <v>501</v>
      </c>
      <c r="Z92">
        <f t="shared" si="4"/>
        <v>-51</v>
      </c>
      <c r="AA92" s="10">
        <f t="shared" si="5"/>
        <v>-0.11333333333333333</v>
      </c>
    </row>
    <row r="93" spans="1:27" x14ac:dyDescent="0.25">
      <c r="A93" s="3">
        <v>44292</v>
      </c>
      <c r="B93" t="s">
        <v>31</v>
      </c>
      <c r="C93" s="12" t="s">
        <v>47</v>
      </c>
      <c r="D93" t="s">
        <v>60</v>
      </c>
      <c r="E93">
        <v>1776</v>
      </c>
      <c r="F93">
        <f>300+34</f>
        <v>334</v>
      </c>
      <c r="G93">
        <v>671</v>
      </c>
      <c r="H93">
        <v>1</v>
      </c>
      <c r="Q93">
        <v>1</v>
      </c>
      <c r="Y93">
        <f t="shared" si="3"/>
        <v>1500.16</v>
      </c>
      <c r="Z93">
        <f t="shared" si="4"/>
        <v>275.83999999999992</v>
      </c>
      <c r="AA93" s="10">
        <f t="shared" si="5"/>
        <v>0.15531531531531526</v>
      </c>
    </row>
    <row r="94" spans="1:27" x14ac:dyDescent="0.25">
      <c r="A94" s="3">
        <v>44294</v>
      </c>
      <c r="B94" t="s">
        <v>31</v>
      </c>
      <c r="C94" s="12" t="s">
        <v>21</v>
      </c>
      <c r="D94" t="s">
        <v>129</v>
      </c>
      <c r="E94">
        <v>370</v>
      </c>
      <c r="F94">
        <v>40</v>
      </c>
      <c r="G94">
        <v>336</v>
      </c>
      <c r="O94">
        <v>1</v>
      </c>
      <c r="Y94">
        <f t="shared" si="3"/>
        <v>476.2</v>
      </c>
      <c r="Z94">
        <f t="shared" si="4"/>
        <v>-106.19999999999999</v>
      </c>
      <c r="AA94" s="10">
        <f t="shared" si="5"/>
        <v>-0.28702702702702698</v>
      </c>
    </row>
    <row r="95" spans="1:27" x14ac:dyDescent="0.25">
      <c r="A95" s="3">
        <v>44295</v>
      </c>
      <c r="B95" t="s">
        <v>20</v>
      </c>
      <c r="C95" s="12" t="s">
        <v>21</v>
      </c>
      <c r="D95" t="s">
        <v>123</v>
      </c>
      <c r="E95">
        <f>3360*0.9</f>
        <v>3024</v>
      </c>
      <c r="F95">
        <v>117</v>
      </c>
      <c r="G95">
        <v>938</v>
      </c>
      <c r="H95">
        <v>1</v>
      </c>
      <c r="V95">
        <v>1</v>
      </c>
      <c r="Y95">
        <f t="shared" si="3"/>
        <v>1852.94</v>
      </c>
      <c r="Z95">
        <f t="shared" si="4"/>
        <v>1171.06</v>
      </c>
      <c r="AA95" s="10">
        <f t="shared" si="5"/>
        <v>0.38725529100529099</v>
      </c>
    </row>
    <row r="96" spans="1:27" x14ac:dyDescent="0.25">
      <c r="A96" s="3">
        <v>44210</v>
      </c>
      <c r="B96" t="s">
        <v>31</v>
      </c>
      <c r="C96" s="12" t="s">
        <v>21</v>
      </c>
      <c r="D96" t="s">
        <v>45</v>
      </c>
      <c r="E96">
        <v>8250</v>
      </c>
      <c r="F96">
        <f>564+42 +80+40+43+42+24+532+164+70+25+102</f>
        <v>1728</v>
      </c>
      <c r="G96">
        <v>3961</v>
      </c>
      <c r="H96">
        <v>1</v>
      </c>
      <c r="Q96">
        <v>1</v>
      </c>
      <c r="R96">
        <v>1</v>
      </c>
      <c r="S96">
        <v>1</v>
      </c>
      <c r="T96">
        <v>1</v>
      </c>
      <c r="U96">
        <v>1</v>
      </c>
      <c r="Y96">
        <f t="shared" si="3"/>
        <v>8006.8</v>
      </c>
      <c r="Z96">
        <f t="shared" si="4"/>
        <v>243.19999999999982</v>
      </c>
      <c r="AA96" s="10">
        <f t="shared" si="5"/>
        <v>2.9478787878787858E-2</v>
      </c>
    </row>
    <row r="97" spans="1:27" x14ac:dyDescent="0.25">
      <c r="A97" s="3">
        <v>44295</v>
      </c>
      <c r="B97" t="s">
        <v>31</v>
      </c>
      <c r="C97" s="12" t="s">
        <v>21</v>
      </c>
      <c r="D97" t="s">
        <v>89</v>
      </c>
      <c r="E97">
        <v>4505</v>
      </c>
      <c r="F97">
        <f>970+328</f>
        <v>1298</v>
      </c>
      <c r="G97">
        <v>2337</v>
      </c>
      <c r="H97">
        <v>1</v>
      </c>
      <c r="T97">
        <v>1</v>
      </c>
      <c r="Y97">
        <f t="shared" si="3"/>
        <v>4936.1000000000004</v>
      </c>
      <c r="Z97">
        <f t="shared" si="4"/>
        <v>-431.10000000000036</v>
      </c>
      <c r="AA97" s="10">
        <f t="shared" si="5"/>
        <v>-9.569367369589353E-2</v>
      </c>
    </row>
    <row r="98" spans="1:27" x14ac:dyDescent="0.25">
      <c r="A98" s="3">
        <v>44228</v>
      </c>
      <c r="B98" t="s">
        <v>31</v>
      </c>
      <c r="C98" s="12" t="s">
        <v>47</v>
      </c>
      <c r="D98" t="s">
        <v>70</v>
      </c>
      <c r="E98">
        <v>710</v>
      </c>
      <c r="F98">
        <f>60+62</f>
        <v>122</v>
      </c>
      <c r="G98">
        <v>589</v>
      </c>
      <c r="H98">
        <v>1</v>
      </c>
      <c r="R98">
        <v>1</v>
      </c>
      <c r="Y98">
        <f t="shared" si="3"/>
        <v>907.80000000000007</v>
      </c>
      <c r="Z98">
        <f t="shared" si="4"/>
        <v>-197.80000000000007</v>
      </c>
      <c r="AA98" s="10">
        <f t="shared" si="5"/>
        <v>-0.27859154929577473</v>
      </c>
    </row>
    <row r="99" spans="1:27" x14ac:dyDescent="0.25">
      <c r="A99" s="3">
        <v>44298</v>
      </c>
      <c r="B99" t="s">
        <v>31</v>
      </c>
      <c r="C99" s="12" t="s">
        <v>21</v>
      </c>
      <c r="D99" t="s">
        <v>105</v>
      </c>
      <c r="E99">
        <f>2755+120</f>
        <v>2875</v>
      </c>
      <c r="F99">
        <v>440</v>
      </c>
      <c r="G99">
        <v>1053</v>
      </c>
      <c r="H99">
        <v>1</v>
      </c>
      <c r="Q99">
        <v>1</v>
      </c>
      <c r="R99">
        <v>1</v>
      </c>
      <c r="S99">
        <v>1</v>
      </c>
      <c r="T99">
        <v>1</v>
      </c>
      <c r="Y99">
        <f t="shared" si="3"/>
        <v>2284.5</v>
      </c>
      <c r="Z99">
        <f t="shared" si="4"/>
        <v>590.5</v>
      </c>
      <c r="AA99" s="10">
        <f t="shared" si="5"/>
        <v>0.2053913043478261</v>
      </c>
    </row>
    <row r="100" spans="1:27" x14ac:dyDescent="0.25">
      <c r="A100" s="3">
        <v>44294</v>
      </c>
      <c r="B100" t="s">
        <v>31</v>
      </c>
      <c r="C100" s="12" t="s">
        <v>47</v>
      </c>
      <c r="D100" t="s">
        <v>128</v>
      </c>
      <c r="E100">
        <v>2200</v>
      </c>
      <c r="F100">
        <v>401</v>
      </c>
      <c r="G100">
        <v>1019</v>
      </c>
      <c r="Q100">
        <v>1</v>
      </c>
      <c r="Y100">
        <f t="shared" si="3"/>
        <v>2032.1</v>
      </c>
      <c r="Z100">
        <f t="shared" si="4"/>
        <v>167.90000000000009</v>
      </c>
      <c r="AA100" s="10">
        <f t="shared" si="5"/>
        <v>7.6318181818181854E-2</v>
      </c>
    </row>
    <row r="101" spans="1:27" x14ac:dyDescent="0.25">
      <c r="A101" s="3">
        <v>44299</v>
      </c>
      <c r="B101" t="s">
        <v>20</v>
      </c>
      <c r="C101" s="12" t="s">
        <v>47</v>
      </c>
      <c r="D101" t="s">
        <v>136</v>
      </c>
      <c r="E101">
        <v>1508</v>
      </c>
      <c r="F101">
        <v>225</v>
      </c>
      <c r="G101">
        <v>548</v>
      </c>
      <c r="H101">
        <v>1</v>
      </c>
      <c r="Q101">
        <v>1</v>
      </c>
      <c r="R101">
        <v>1</v>
      </c>
      <c r="S101">
        <v>1</v>
      </c>
      <c r="T101">
        <v>1</v>
      </c>
      <c r="Y101">
        <f t="shared" si="3"/>
        <v>1187.58</v>
      </c>
      <c r="Z101">
        <f t="shared" si="4"/>
        <v>320.42000000000007</v>
      </c>
      <c r="AA101" s="10">
        <f t="shared" si="5"/>
        <v>0.21248010610079582</v>
      </c>
    </row>
    <row r="102" spans="1:27" x14ac:dyDescent="0.25">
      <c r="A102" s="3">
        <v>44299</v>
      </c>
      <c r="B102" t="s">
        <v>30</v>
      </c>
      <c r="C102" s="12" t="s">
        <v>30</v>
      </c>
      <c r="D102" t="s">
        <v>137</v>
      </c>
      <c r="E102">
        <v>550</v>
      </c>
      <c r="F102">
        <v>80</v>
      </c>
      <c r="G102">
        <v>150</v>
      </c>
      <c r="Y102">
        <f t="shared" si="3"/>
        <v>381</v>
      </c>
      <c r="Z102">
        <f t="shared" si="4"/>
        <v>169</v>
      </c>
      <c r="AA102" s="10">
        <f t="shared" si="5"/>
        <v>0.30727272727272725</v>
      </c>
    </row>
    <row r="103" spans="1:27" x14ac:dyDescent="0.25">
      <c r="A103" s="3">
        <v>44298</v>
      </c>
      <c r="B103" t="s">
        <v>30</v>
      </c>
      <c r="C103" s="12" t="s">
        <v>34</v>
      </c>
      <c r="D103" t="s">
        <v>132</v>
      </c>
      <c r="E103">
        <v>1093</v>
      </c>
      <c r="F103">
        <v>260</v>
      </c>
      <c r="G103">
        <v>335</v>
      </c>
      <c r="H103">
        <v>1</v>
      </c>
      <c r="Q103">
        <v>1</v>
      </c>
      <c r="R103">
        <v>1</v>
      </c>
      <c r="Y103">
        <f t="shared" si="3"/>
        <v>905.18000000000006</v>
      </c>
      <c r="Z103">
        <f t="shared" si="4"/>
        <v>187.81999999999994</v>
      </c>
      <c r="AA103" s="10">
        <f t="shared" si="5"/>
        <v>0.17183897529734668</v>
      </c>
    </row>
    <row r="104" spans="1:27" x14ac:dyDescent="0.25">
      <c r="A104" s="3">
        <v>44300</v>
      </c>
      <c r="B104" t="s">
        <v>31</v>
      </c>
      <c r="C104" s="12" t="s">
        <v>34</v>
      </c>
      <c r="D104" t="s">
        <v>167</v>
      </c>
      <c r="E104">
        <v>1200</v>
      </c>
      <c r="F104">
        <f>80+133</f>
        <v>213</v>
      </c>
      <c r="G104">
        <v>326</v>
      </c>
      <c r="L104">
        <v>1</v>
      </c>
      <c r="Y104">
        <f t="shared" si="3"/>
        <v>872.3</v>
      </c>
      <c r="Z104">
        <f t="shared" si="4"/>
        <v>327.70000000000005</v>
      </c>
      <c r="AA104" s="10">
        <f t="shared" si="5"/>
        <v>0.27308333333333334</v>
      </c>
    </row>
    <row r="105" spans="1:27" x14ac:dyDescent="0.25">
      <c r="A105" s="3">
        <v>44298</v>
      </c>
      <c r="B105" t="s">
        <v>31</v>
      </c>
      <c r="C105" s="12" t="s">
        <v>21</v>
      </c>
      <c r="D105" t="s">
        <v>131</v>
      </c>
      <c r="E105">
        <v>2812</v>
      </c>
      <c r="F105">
        <f>200+50</f>
        <v>250</v>
      </c>
      <c r="G105">
        <f>635+200</f>
        <v>835</v>
      </c>
      <c r="H105">
        <v>1</v>
      </c>
      <c r="Q105">
        <v>1</v>
      </c>
      <c r="R105">
        <v>1</v>
      </c>
      <c r="V105">
        <v>1</v>
      </c>
      <c r="Y105">
        <f t="shared" si="3"/>
        <v>1841.12</v>
      </c>
      <c r="Z105">
        <f t="shared" si="4"/>
        <v>970.88000000000011</v>
      </c>
      <c r="AA105" s="10">
        <f t="shared" si="5"/>
        <v>0.34526315789473688</v>
      </c>
    </row>
    <row r="106" spans="1:27" x14ac:dyDescent="0.25">
      <c r="A106" s="3">
        <v>44298</v>
      </c>
      <c r="B106" t="s">
        <v>30</v>
      </c>
      <c r="C106" s="12" t="s">
        <v>48</v>
      </c>
      <c r="D106" t="s">
        <v>133</v>
      </c>
      <c r="E106">
        <v>3400</v>
      </c>
      <c r="F106">
        <v>243</v>
      </c>
      <c r="G106">
        <v>1356</v>
      </c>
      <c r="I106">
        <v>1</v>
      </c>
      <c r="Y106">
        <f t="shared" si="3"/>
        <v>2507.3000000000002</v>
      </c>
      <c r="Z106">
        <f t="shared" si="4"/>
        <v>892.69999999999982</v>
      </c>
      <c r="AA106" s="10">
        <f t="shared" si="5"/>
        <v>0.26255882352941173</v>
      </c>
    </row>
    <row r="107" spans="1:27" x14ac:dyDescent="0.25">
      <c r="A107" s="3">
        <v>44299</v>
      </c>
      <c r="B107" t="s">
        <v>20</v>
      </c>
      <c r="C107" s="12" t="s">
        <v>47</v>
      </c>
      <c r="D107" t="s">
        <v>166</v>
      </c>
      <c r="E107">
        <v>2589</v>
      </c>
      <c r="F107">
        <f>228+109+56+104</f>
        <v>497</v>
      </c>
      <c r="G107">
        <v>698</v>
      </c>
      <c r="K107">
        <v>1</v>
      </c>
      <c r="Y107">
        <f t="shared" si="3"/>
        <v>1917.8400000000001</v>
      </c>
      <c r="Z107">
        <f t="shared" si="4"/>
        <v>671.15999999999985</v>
      </c>
      <c r="AA107" s="10">
        <f t="shared" si="5"/>
        <v>0.25923522595596749</v>
      </c>
    </row>
    <row r="108" spans="1:27" x14ac:dyDescent="0.25">
      <c r="A108" s="3">
        <v>44301</v>
      </c>
      <c r="B108" t="s">
        <v>31</v>
      </c>
      <c r="C108" s="12" t="s">
        <v>21</v>
      </c>
      <c r="D108" t="s">
        <v>135</v>
      </c>
      <c r="E108">
        <v>1050</v>
      </c>
      <c r="F108">
        <v>170</v>
      </c>
      <c r="H108">
        <v>1</v>
      </c>
      <c r="Q108">
        <v>1</v>
      </c>
      <c r="Y108">
        <f t="shared" si="3"/>
        <v>460</v>
      </c>
      <c r="Z108">
        <f t="shared" si="4"/>
        <v>590</v>
      </c>
      <c r="AA108" s="10">
        <f t="shared" si="5"/>
        <v>0.56190476190476191</v>
      </c>
    </row>
    <row r="109" spans="1:27" x14ac:dyDescent="0.25">
      <c r="A109" s="3">
        <v>44301</v>
      </c>
      <c r="B109" t="s">
        <v>20</v>
      </c>
      <c r="C109" t="s">
        <v>48</v>
      </c>
      <c r="D109" t="s">
        <v>168</v>
      </c>
      <c r="E109">
        <v>2438</v>
      </c>
      <c r="F109">
        <f>35+335</f>
        <v>370</v>
      </c>
      <c r="G109">
        <v>870</v>
      </c>
      <c r="H109">
        <v>1</v>
      </c>
      <c r="Q109">
        <v>1</v>
      </c>
      <c r="R109">
        <v>1</v>
      </c>
      <c r="Y109">
        <f t="shared" si="3"/>
        <v>1910.88</v>
      </c>
      <c r="Z109">
        <f t="shared" si="4"/>
        <v>527.11999999999989</v>
      </c>
      <c r="AA109" s="10">
        <f t="shared" si="5"/>
        <v>0.21621000820344541</v>
      </c>
    </row>
    <row r="110" spans="1:27" x14ac:dyDescent="0.25">
      <c r="A110" s="3">
        <v>44300</v>
      </c>
      <c r="B110" t="s">
        <v>31</v>
      </c>
      <c r="C110" s="12" t="s">
        <v>21</v>
      </c>
      <c r="D110" t="s">
        <v>39</v>
      </c>
      <c r="E110">
        <v>450</v>
      </c>
      <c r="F110">
        <v>80</v>
      </c>
      <c r="G110">
        <v>162</v>
      </c>
      <c r="I110">
        <v>1</v>
      </c>
      <c r="Y110">
        <f t="shared" si="3"/>
        <v>367</v>
      </c>
      <c r="Z110">
        <f t="shared" si="4"/>
        <v>83</v>
      </c>
      <c r="AA110" s="10">
        <f t="shared" si="5"/>
        <v>0.18444444444444444</v>
      </c>
    </row>
    <row r="111" spans="1:27" x14ac:dyDescent="0.25">
      <c r="A111" s="3">
        <v>44302</v>
      </c>
      <c r="B111" t="s">
        <v>31</v>
      </c>
      <c r="C111" s="12" t="s">
        <v>47</v>
      </c>
      <c r="D111" t="s">
        <v>169</v>
      </c>
      <c r="E111">
        <v>700</v>
      </c>
      <c r="F111">
        <v>102</v>
      </c>
      <c r="G111">
        <v>303</v>
      </c>
      <c r="Y111">
        <f t="shared" si="3"/>
        <v>597.20000000000005</v>
      </c>
      <c r="Z111">
        <f t="shared" si="4"/>
        <v>102.79999999999995</v>
      </c>
      <c r="AA111" s="10">
        <f t="shared" si="5"/>
        <v>0.1468571428571428</v>
      </c>
    </row>
    <row r="112" spans="1:27" x14ac:dyDescent="0.25">
      <c r="A112" s="3">
        <v>44306</v>
      </c>
      <c r="B112" t="s">
        <v>20</v>
      </c>
      <c r="C112" s="12" t="s">
        <v>47</v>
      </c>
      <c r="D112" t="s">
        <v>175</v>
      </c>
      <c r="E112">
        <v>969</v>
      </c>
      <c r="F112">
        <v>137</v>
      </c>
      <c r="G112">
        <v>278</v>
      </c>
      <c r="P112">
        <v>1</v>
      </c>
      <c r="Y112">
        <f t="shared" si="3"/>
        <v>680.6400000000001</v>
      </c>
      <c r="Z112">
        <f t="shared" si="4"/>
        <v>288.3599999999999</v>
      </c>
      <c r="AA112" s="10">
        <f t="shared" si="5"/>
        <v>0.29758513931888536</v>
      </c>
    </row>
    <row r="113" spans="1:27" x14ac:dyDescent="0.25">
      <c r="A113" s="3">
        <v>44305</v>
      </c>
      <c r="B113" t="s">
        <v>30</v>
      </c>
      <c r="C113" s="12" t="s">
        <v>34</v>
      </c>
      <c r="D113" t="s">
        <v>170</v>
      </c>
      <c r="E113">
        <v>700</v>
      </c>
      <c r="F113">
        <f>40+25</f>
        <v>65</v>
      </c>
      <c r="G113">
        <v>424</v>
      </c>
      <c r="Y113">
        <f t="shared" si="3"/>
        <v>677.5</v>
      </c>
      <c r="Z113">
        <f t="shared" si="4"/>
        <v>22.5</v>
      </c>
      <c r="AA113" s="10">
        <f t="shared" si="5"/>
        <v>3.214285714285714E-2</v>
      </c>
    </row>
    <row r="114" spans="1:27" x14ac:dyDescent="0.25">
      <c r="A114" s="3">
        <v>44307</v>
      </c>
      <c r="B114" t="s">
        <v>20</v>
      </c>
      <c r="C114" s="12" t="s">
        <v>34</v>
      </c>
      <c r="D114" t="s">
        <v>173</v>
      </c>
      <c r="E114">
        <v>894</v>
      </c>
      <c r="F114">
        <f>160+45</f>
        <v>205</v>
      </c>
      <c r="G114">
        <v>354</v>
      </c>
      <c r="H114">
        <v>1</v>
      </c>
      <c r="M114">
        <v>1</v>
      </c>
      <c r="Y114">
        <f t="shared" si="3"/>
        <v>811.94</v>
      </c>
      <c r="Z114">
        <f t="shared" si="4"/>
        <v>82.059999999999945</v>
      </c>
      <c r="AA114" s="10">
        <f t="shared" si="5"/>
        <v>9.178970917225944E-2</v>
      </c>
    </row>
    <row r="115" spans="1:27" x14ac:dyDescent="0.25">
      <c r="A115" s="3">
        <v>44306</v>
      </c>
      <c r="B115" t="s">
        <v>30</v>
      </c>
      <c r="C115" s="12" t="s">
        <v>30</v>
      </c>
      <c r="D115" t="s">
        <v>172</v>
      </c>
      <c r="E115">
        <v>550</v>
      </c>
      <c r="F115">
        <f>40+114</f>
        <v>154</v>
      </c>
      <c r="G115">
        <f>4*40</f>
        <v>160</v>
      </c>
      <c r="L115">
        <v>1</v>
      </c>
      <c r="Y115">
        <f t="shared" si="3"/>
        <v>472.4</v>
      </c>
      <c r="Z115">
        <f t="shared" si="4"/>
        <v>77.600000000000023</v>
      </c>
      <c r="AA115" s="10">
        <f t="shared" si="5"/>
        <v>0.14109090909090913</v>
      </c>
    </row>
    <row r="116" spans="1:27" x14ac:dyDescent="0.25">
      <c r="A116" s="3">
        <v>44302</v>
      </c>
      <c r="B116" t="s">
        <v>20</v>
      </c>
      <c r="C116" s="12" t="s">
        <v>34</v>
      </c>
      <c r="D116" t="s">
        <v>56</v>
      </c>
      <c r="E116">
        <v>360</v>
      </c>
      <c r="F116">
        <v>50</v>
      </c>
      <c r="G116">
        <v>152</v>
      </c>
      <c r="L116">
        <v>1</v>
      </c>
      <c r="Y116">
        <f t="shared" si="3"/>
        <v>300.60000000000002</v>
      </c>
      <c r="Z116">
        <f t="shared" si="4"/>
        <v>59.399999999999977</v>
      </c>
      <c r="AA116" s="10">
        <f t="shared" si="5"/>
        <v>0.16499999999999992</v>
      </c>
    </row>
    <row r="117" spans="1:27" x14ac:dyDescent="0.25">
      <c r="A117" s="3">
        <v>44305</v>
      </c>
      <c r="B117" t="s">
        <v>31</v>
      </c>
      <c r="C117" s="12" t="s">
        <v>48</v>
      </c>
      <c r="D117" t="s">
        <v>58</v>
      </c>
      <c r="E117">
        <f>8940+300</f>
        <v>9240</v>
      </c>
      <c r="F117">
        <f>1108+60+114</f>
        <v>1282</v>
      </c>
      <c r="G117">
        <v>1889</v>
      </c>
      <c r="K117">
        <v>1</v>
      </c>
      <c r="X117">
        <v>1</v>
      </c>
      <c r="Y117">
        <f t="shared" si="3"/>
        <v>5701.6</v>
      </c>
      <c r="Z117">
        <f t="shared" si="4"/>
        <v>3538.3999999999996</v>
      </c>
      <c r="AA117" s="10">
        <f t="shared" si="5"/>
        <v>0.38294372294372292</v>
      </c>
    </row>
    <row r="118" spans="1:27" x14ac:dyDescent="0.25">
      <c r="A118" s="3">
        <v>44309</v>
      </c>
      <c r="B118" t="s">
        <v>20</v>
      </c>
      <c r="C118" s="12" t="s">
        <v>34</v>
      </c>
      <c r="D118" t="s">
        <v>134</v>
      </c>
      <c r="E118">
        <v>1295</v>
      </c>
      <c r="F118">
        <f>194+33</f>
        <v>227</v>
      </c>
      <c r="G118">
        <v>400</v>
      </c>
      <c r="H118">
        <v>1</v>
      </c>
      <c r="Q118">
        <v>1</v>
      </c>
      <c r="R118">
        <v>1</v>
      </c>
      <c r="S118">
        <v>1</v>
      </c>
      <c r="Y118">
        <f t="shared" si="3"/>
        <v>986.40000000000009</v>
      </c>
      <c r="Z118">
        <f t="shared" si="4"/>
        <v>308.59999999999991</v>
      </c>
      <c r="AA118" s="10">
        <f t="shared" si="5"/>
        <v>0.23830115830115822</v>
      </c>
    </row>
    <row r="119" spans="1:27" x14ac:dyDescent="0.25">
      <c r="A119" s="3">
        <v>44305</v>
      </c>
      <c r="B119" t="s">
        <v>20</v>
      </c>
      <c r="C119" s="12" t="s">
        <v>47</v>
      </c>
      <c r="D119" t="s">
        <v>171</v>
      </c>
      <c r="E119">
        <v>2100</v>
      </c>
      <c r="F119">
        <f>81+50</f>
        <v>131</v>
      </c>
      <c r="G119">
        <v>819</v>
      </c>
      <c r="V119">
        <v>1</v>
      </c>
      <c r="Y119">
        <f t="shared" si="3"/>
        <v>1509.1</v>
      </c>
      <c r="Z119">
        <f t="shared" si="4"/>
        <v>590.90000000000009</v>
      </c>
      <c r="AA119" s="10">
        <f t="shared" si="5"/>
        <v>0.2813809523809524</v>
      </c>
    </row>
    <row r="120" spans="1:27" x14ac:dyDescent="0.25">
      <c r="A120" s="3">
        <v>44319</v>
      </c>
      <c r="B120" t="s">
        <v>30</v>
      </c>
      <c r="C120" s="12" t="s">
        <v>34</v>
      </c>
      <c r="D120" t="s">
        <v>186</v>
      </c>
      <c r="E120">
        <v>5100</v>
      </c>
      <c r="F120">
        <f>78+200+228+33+141</f>
        <v>680</v>
      </c>
      <c r="G120">
        <v>1164</v>
      </c>
      <c r="I120">
        <v>1</v>
      </c>
      <c r="J120">
        <v>1</v>
      </c>
      <c r="L120">
        <v>1</v>
      </c>
      <c r="M120">
        <v>1</v>
      </c>
      <c r="O120">
        <v>1</v>
      </c>
      <c r="Y120">
        <f t="shared" si="3"/>
        <v>3238</v>
      </c>
      <c r="Z120">
        <f t="shared" si="4"/>
        <v>1862</v>
      </c>
      <c r="AA120" s="10">
        <f t="shared" si="5"/>
        <v>0.36509803921568629</v>
      </c>
    </row>
    <row r="121" spans="1:27" x14ac:dyDescent="0.25">
      <c r="A121" s="3">
        <v>44319</v>
      </c>
      <c r="B121" t="s">
        <v>20</v>
      </c>
      <c r="C121" s="12" t="s">
        <v>48</v>
      </c>
      <c r="D121" t="s">
        <v>183</v>
      </c>
      <c r="E121">
        <v>3036</v>
      </c>
      <c r="F121">
        <f>121+40</f>
        <v>161</v>
      </c>
      <c r="G121">
        <v>716</v>
      </c>
      <c r="V121">
        <v>1</v>
      </c>
      <c r="Y121">
        <f t="shared" si="3"/>
        <v>1682.46</v>
      </c>
      <c r="Z121">
        <f t="shared" si="4"/>
        <v>1353.54</v>
      </c>
      <c r="AA121" s="10">
        <f t="shared" si="5"/>
        <v>0.44583003952569167</v>
      </c>
    </row>
    <row r="122" spans="1:27" x14ac:dyDescent="0.25">
      <c r="A122" s="3">
        <v>44314</v>
      </c>
      <c r="B122" t="s">
        <v>31</v>
      </c>
      <c r="C122" s="12" t="s">
        <v>21</v>
      </c>
      <c r="D122" t="s">
        <v>185</v>
      </c>
      <c r="E122">
        <v>3000</v>
      </c>
      <c r="F122">
        <f>160+160+196</f>
        <v>516</v>
      </c>
      <c r="G122">
        <v>2302</v>
      </c>
      <c r="I122">
        <v>1</v>
      </c>
      <c r="M122">
        <v>1</v>
      </c>
      <c r="R122">
        <v>1</v>
      </c>
      <c r="S122">
        <v>1</v>
      </c>
      <c r="Y122">
        <f t="shared" si="3"/>
        <v>3649.6</v>
      </c>
      <c r="Z122">
        <f t="shared" si="4"/>
        <v>-649.59999999999991</v>
      </c>
      <c r="AA122" s="10">
        <f t="shared" si="5"/>
        <v>-0.2165333333333333</v>
      </c>
    </row>
    <row r="123" spans="1:27" x14ac:dyDescent="0.25">
      <c r="A123" s="3">
        <v>44319</v>
      </c>
      <c r="B123" t="s">
        <v>20</v>
      </c>
      <c r="C123" s="12" t="s">
        <v>47</v>
      </c>
      <c r="D123" t="s">
        <v>184</v>
      </c>
      <c r="E123">
        <v>3034</v>
      </c>
      <c r="F123">
        <f>228+228</f>
        <v>456</v>
      </c>
      <c r="G123">
        <v>1166</v>
      </c>
      <c r="K123">
        <v>1</v>
      </c>
      <c r="L123">
        <v>1</v>
      </c>
      <c r="Y123">
        <f t="shared" si="3"/>
        <v>2456.44</v>
      </c>
      <c r="Z123">
        <f t="shared" si="4"/>
        <v>577.55999999999995</v>
      </c>
      <c r="AA123" s="10">
        <f t="shared" si="5"/>
        <v>0.19036255767963084</v>
      </c>
    </row>
    <row r="124" spans="1:27" x14ac:dyDescent="0.25">
      <c r="A124" s="3">
        <v>44306</v>
      </c>
      <c r="B124" t="s">
        <v>20</v>
      </c>
      <c r="C124" s="12" t="s">
        <v>21</v>
      </c>
      <c r="D124" t="s">
        <v>177</v>
      </c>
      <c r="E124">
        <v>5918</v>
      </c>
      <c r="F124">
        <f>797+68</f>
        <v>865</v>
      </c>
      <c r="G124">
        <v>2059</v>
      </c>
      <c r="H124">
        <v>1</v>
      </c>
      <c r="Q124">
        <v>1</v>
      </c>
      <c r="S124">
        <v>1</v>
      </c>
      <c r="Y124">
        <f t="shared" si="3"/>
        <v>4549.18</v>
      </c>
      <c r="Z124">
        <f t="shared" si="4"/>
        <v>1368.8199999999997</v>
      </c>
      <c r="AA124" s="10">
        <f t="shared" si="5"/>
        <v>0.23129773572152748</v>
      </c>
    </row>
    <row r="125" spans="1:27" x14ac:dyDescent="0.25">
      <c r="A125" s="3">
        <v>44312</v>
      </c>
      <c r="B125" t="s">
        <v>31</v>
      </c>
      <c r="C125" s="12" t="s">
        <v>34</v>
      </c>
      <c r="D125" t="s">
        <v>176</v>
      </c>
      <c r="E125">
        <v>1300</v>
      </c>
      <c r="F125">
        <v>168</v>
      </c>
      <c r="G125">
        <v>514</v>
      </c>
      <c r="L125">
        <v>1</v>
      </c>
      <c r="M125">
        <v>1</v>
      </c>
      <c r="Y125">
        <f t="shared" si="3"/>
        <v>1036.8</v>
      </c>
      <c r="Z125">
        <f t="shared" si="4"/>
        <v>263.20000000000005</v>
      </c>
      <c r="AA125" s="10">
        <f t="shared" si="5"/>
        <v>0.2024615384615385</v>
      </c>
    </row>
    <row r="126" spans="1:27" x14ac:dyDescent="0.25">
      <c r="A126" s="3">
        <v>44313</v>
      </c>
      <c r="B126" t="s">
        <v>30</v>
      </c>
      <c r="C126" s="12" t="s">
        <v>34</v>
      </c>
      <c r="D126" t="s">
        <v>180</v>
      </c>
      <c r="E126">
        <v>2000</v>
      </c>
      <c r="F126">
        <f>168+42</f>
        <v>210</v>
      </c>
      <c r="G126">
        <v>1106</v>
      </c>
      <c r="L126">
        <v>1</v>
      </c>
      <c r="M126">
        <v>1</v>
      </c>
      <c r="P126">
        <v>1</v>
      </c>
      <c r="R126">
        <v>1</v>
      </c>
      <c r="S126">
        <v>1</v>
      </c>
      <c r="Y126">
        <f t="shared" si="3"/>
        <v>1857</v>
      </c>
      <c r="Z126">
        <f t="shared" si="4"/>
        <v>143</v>
      </c>
      <c r="AA126" s="10">
        <f t="shared" si="5"/>
        <v>7.1499999999999994E-2</v>
      </c>
    </row>
    <row r="127" spans="1:27" x14ac:dyDescent="0.25">
      <c r="A127" s="3">
        <v>44312</v>
      </c>
      <c r="B127" t="s">
        <v>31</v>
      </c>
      <c r="C127" s="12" t="s">
        <v>47</v>
      </c>
      <c r="D127" t="s">
        <v>181</v>
      </c>
      <c r="E127">
        <v>1050</v>
      </c>
      <c r="F127">
        <v>126</v>
      </c>
      <c r="G127">
        <v>404</v>
      </c>
      <c r="H127">
        <v>1</v>
      </c>
      <c r="R127">
        <v>1</v>
      </c>
      <c r="S127">
        <v>1</v>
      </c>
      <c r="Y127">
        <f t="shared" si="3"/>
        <v>815.6</v>
      </c>
      <c r="Z127">
        <f t="shared" si="4"/>
        <v>234.39999999999998</v>
      </c>
      <c r="AA127" s="10">
        <f t="shared" si="5"/>
        <v>0.22323809523809521</v>
      </c>
    </row>
    <row r="128" spans="1:27" x14ac:dyDescent="0.25">
      <c r="A128" s="3">
        <v>44300</v>
      </c>
      <c r="B128" t="s">
        <v>31</v>
      </c>
      <c r="C128" s="12" t="s">
        <v>21</v>
      </c>
      <c r="D128" t="s">
        <v>85</v>
      </c>
      <c r="E128">
        <v>1165</v>
      </c>
      <c r="F128">
        <f>75+170+68</f>
        <v>313</v>
      </c>
      <c r="G128">
        <v>349</v>
      </c>
      <c r="H128">
        <v>1</v>
      </c>
      <c r="Q128">
        <v>1</v>
      </c>
      <c r="R128">
        <v>1</v>
      </c>
      <c r="T128">
        <v>1</v>
      </c>
      <c r="V128">
        <v>1</v>
      </c>
      <c r="Y128">
        <f t="shared" si="3"/>
        <v>996.2</v>
      </c>
      <c r="Z128">
        <f t="shared" si="4"/>
        <v>168.79999999999995</v>
      </c>
      <c r="AA128" s="10">
        <f t="shared" si="5"/>
        <v>0.1448927038626609</v>
      </c>
    </row>
    <row r="129" spans="1:27" x14ac:dyDescent="0.25">
      <c r="A129" s="3">
        <v>44307</v>
      </c>
      <c r="B129" t="s">
        <v>31</v>
      </c>
      <c r="C129" s="12" t="s">
        <v>47</v>
      </c>
      <c r="D129" t="s">
        <v>178</v>
      </c>
      <c r="E129">
        <v>2200</v>
      </c>
      <c r="F129">
        <v>161</v>
      </c>
      <c r="G129">
        <v>704</v>
      </c>
      <c r="I129">
        <v>1</v>
      </c>
      <c r="L129">
        <v>1</v>
      </c>
      <c r="M129">
        <v>1</v>
      </c>
      <c r="R129">
        <v>1</v>
      </c>
      <c r="Y129">
        <f t="shared" si="3"/>
        <v>1453.1</v>
      </c>
      <c r="Z129">
        <f t="shared" si="4"/>
        <v>746.90000000000009</v>
      </c>
      <c r="AA129" s="10">
        <f t="shared" si="5"/>
        <v>0.33950000000000002</v>
      </c>
    </row>
    <row r="130" spans="1:27" x14ac:dyDescent="0.25">
      <c r="A130" s="3">
        <v>44326</v>
      </c>
      <c r="B130" t="s">
        <v>31</v>
      </c>
      <c r="C130" s="12" t="s">
        <v>21</v>
      </c>
      <c r="D130" t="s">
        <v>189</v>
      </c>
      <c r="E130">
        <v>3131</v>
      </c>
      <c r="F130">
        <f>35+465</f>
        <v>500</v>
      </c>
      <c r="G130">
        <v>1015</v>
      </c>
      <c r="H130">
        <v>1</v>
      </c>
      <c r="Q130">
        <v>1</v>
      </c>
      <c r="R130">
        <v>1</v>
      </c>
      <c r="S130">
        <v>1</v>
      </c>
      <c r="T130">
        <v>1</v>
      </c>
      <c r="Y130">
        <f t="shared" ref="Y130:Y193" si="6">G130+F130*1.1+E130*0.26</f>
        <v>2379.06</v>
      </c>
      <c r="Z130">
        <f t="shared" ref="Z130:Z193" si="7">E130-Y130</f>
        <v>751.94</v>
      </c>
      <c r="AA130" s="10">
        <f t="shared" ref="AA130:AA193" si="8">Z130/E130</f>
        <v>0.24015969338869372</v>
      </c>
    </row>
    <row r="131" spans="1:27" x14ac:dyDescent="0.25">
      <c r="A131" s="3">
        <v>44328</v>
      </c>
      <c r="B131" t="s">
        <v>20</v>
      </c>
      <c r="C131" s="12" t="s">
        <v>47</v>
      </c>
      <c r="D131" t="s">
        <v>187</v>
      </c>
      <c r="E131">
        <v>1548</v>
      </c>
      <c r="F131">
        <f>124+205</f>
        <v>329</v>
      </c>
      <c r="G131">
        <v>715</v>
      </c>
      <c r="L131">
        <v>1</v>
      </c>
      <c r="M131">
        <v>1</v>
      </c>
      <c r="N131">
        <v>1</v>
      </c>
      <c r="P131">
        <v>1</v>
      </c>
      <c r="S131">
        <v>1</v>
      </c>
      <c r="Y131">
        <f t="shared" si="6"/>
        <v>1479.38</v>
      </c>
      <c r="Z131">
        <f t="shared" si="7"/>
        <v>68.619999999999891</v>
      </c>
      <c r="AA131" s="10">
        <f t="shared" si="8"/>
        <v>4.4328165374676931E-2</v>
      </c>
    </row>
    <row r="132" spans="1:27" x14ac:dyDescent="0.25">
      <c r="A132" s="3">
        <v>44330</v>
      </c>
      <c r="B132" t="s">
        <v>20</v>
      </c>
      <c r="C132" s="12" t="s">
        <v>47</v>
      </c>
      <c r="D132" t="s">
        <v>74</v>
      </c>
      <c r="E132">
        <v>505</v>
      </c>
      <c r="F132">
        <v>50</v>
      </c>
      <c r="G132">
        <v>300</v>
      </c>
      <c r="L132">
        <v>1</v>
      </c>
      <c r="S132">
        <v>1</v>
      </c>
      <c r="Y132">
        <f t="shared" si="6"/>
        <v>486.3</v>
      </c>
      <c r="Z132">
        <f t="shared" si="7"/>
        <v>18.699999999999989</v>
      </c>
      <c r="AA132" s="10">
        <f t="shared" si="8"/>
        <v>3.7029702970297007E-2</v>
      </c>
    </row>
    <row r="133" spans="1:27" x14ac:dyDescent="0.25">
      <c r="A133" s="3">
        <v>44329</v>
      </c>
      <c r="B133" t="s">
        <v>30</v>
      </c>
      <c r="C133" s="12" t="s">
        <v>47</v>
      </c>
      <c r="D133" t="s">
        <v>199</v>
      </c>
      <c r="E133">
        <v>1700</v>
      </c>
      <c r="F133">
        <v>222</v>
      </c>
      <c r="G133">
        <v>370</v>
      </c>
      <c r="L133">
        <v>1</v>
      </c>
      <c r="M133">
        <v>1</v>
      </c>
      <c r="S133">
        <v>1</v>
      </c>
      <c r="Y133">
        <f t="shared" si="6"/>
        <v>1056.2</v>
      </c>
      <c r="Z133">
        <f t="shared" si="7"/>
        <v>643.79999999999995</v>
      </c>
      <c r="AA133" s="9">
        <f t="shared" si="8"/>
        <v>0.37870588235294117</v>
      </c>
    </row>
    <row r="134" spans="1:27" x14ac:dyDescent="0.25">
      <c r="A134" s="3">
        <v>44326</v>
      </c>
      <c r="B134" t="s">
        <v>30</v>
      </c>
      <c r="C134" s="12" t="s">
        <v>47</v>
      </c>
      <c r="D134" t="s">
        <v>200</v>
      </c>
      <c r="E134">
        <v>525</v>
      </c>
      <c r="F134">
        <v>50</v>
      </c>
      <c r="G134">
        <v>250</v>
      </c>
      <c r="H134">
        <v>1</v>
      </c>
      <c r="S134">
        <v>1</v>
      </c>
      <c r="Y134">
        <f t="shared" si="6"/>
        <v>441.5</v>
      </c>
      <c r="Z134">
        <f t="shared" si="7"/>
        <v>83.5</v>
      </c>
      <c r="AA134" s="9">
        <f t="shared" si="8"/>
        <v>0.15904761904761905</v>
      </c>
    </row>
    <row r="135" spans="1:27" x14ac:dyDescent="0.25">
      <c r="A135" s="3">
        <v>44326</v>
      </c>
      <c r="B135" t="s">
        <v>31</v>
      </c>
      <c r="C135" s="12" t="s">
        <v>48</v>
      </c>
      <c r="D135" t="s">
        <v>202</v>
      </c>
      <c r="E135">
        <v>6020</v>
      </c>
      <c r="F135">
        <v>195</v>
      </c>
      <c r="G135">
        <v>600</v>
      </c>
      <c r="H135">
        <v>1</v>
      </c>
      <c r="V135">
        <v>1</v>
      </c>
      <c r="Y135">
        <f t="shared" si="6"/>
        <v>2379.6999999999998</v>
      </c>
      <c r="Z135">
        <f t="shared" si="7"/>
        <v>3640.3</v>
      </c>
      <c r="AA135" s="9">
        <f t="shared" si="8"/>
        <v>0.60470099667774091</v>
      </c>
    </row>
    <row r="136" spans="1:27" x14ac:dyDescent="0.25">
      <c r="A136" s="3">
        <v>44328</v>
      </c>
      <c r="B136" t="s">
        <v>31</v>
      </c>
      <c r="C136" s="12" t="s">
        <v>48</v>
      </c>
      <c r="D136" t="s">
        <v>203</v>
      </c>
      <c r="E136">
        <v>1690</v>
      </c>
      <c r="F136">
        <v>120</v>
      </c>
      <c r="G136">
        <v>560</v>
      </c>
      <c r="I136">
        <v>1</v>
      </c>
      <c r="L136">
        <v>1</v>
      </c>
      <c r="M136">
        <v>1</v>
      </c>
      <c r="S136">
        <v>1</v>
      </c>
      <c r="Y136">
        <f t="shared" si="6"/>
        <v>1131.4000000000001</v>
      </c>
      <c r="Z136">
        <f t="shared" si="7"/>
        <v>558.59999999999991</v>
      </c>
      <c r="AA136" s="9">
        <f t="shared" si="8"/>
        <v>0.33053254437869817</v>
      </c>
    </row>
    <row r="137" spans="1:27" x14ac:dyDescent="0.25">
      <c r="A137" s="3">
        <v>44330</v>
      </c>
      <c r="B137" t="s">
        <v>31</v>
      </c>
      <c r="C137" s="12" t="s">
        <v>34</v>
      </c>
      <c r="D137" t="s">
        <v>204</v>
      </c>
      <c r="E137">
        <v>1067</v>
      </c>
      <c r="F137">
        <v>50</v>
      </c>
      <c r="G137">
        <v>665</v>
      </c>
      <c r="I137">
        <v>1</v>
      </c>
      <c r="S137">
        <v>1</v>
      </c>
      <c r="Y137">
        <f t="shared" si="6"/>
        <v>997.42000000000007</v>
      </c>
      <c r="Z137">
        <f t="shared" si="7"/>
        <v>69.579999999999927</v>
      </c>
      <c r="AA137" s="9">
        <f t="shared" si="8"/>
        <v>6.5210871602624107E-2</v>
      </c>
    </row>
    <row r="138" spans="1:27" x14ac:dyDescent="0.25">
      <c r="A138" s="3">
        <v>44334</v>
      </c>
      <c r="B138" t="s">
        <v>20</v>
      </c>
      <c r="C138" s="12" t="s">
        <v>47</v>
      </c>
      <c r="D138" t="s">
        <v>195</v>
      </c>
      <c r="E138">
        <v>685</v>
      </c>
      <c r="F138">
        <v>80</v>
      </c>
      <c r="G138">
        <v>585</v>
      </c>
      <c r="I138">
        <v>1</v>
      </c>
      <c r="L138">
        <v>1</v>
      </c>
      <c r="M138">
        <v>1</v>
      </c>
      <c r="Y138">
        <f t="shared" si="6"/>
        <v>851.1</v>
      </c>
      <c r="Z138">
        <f t="shared" si="7"/>
        <v>-166.10000000000002</v>
      </c>
      <c r="AA138" s="9">
        <f t="shared" si="8"/>
        <v>-0.24248175182481754</v>
      </c>
    </row>
    <row r="139" spans="1:27" x14ac:dyDescent="0.25">
      <c r="A139" s="3">
        <v>44333</v>
      </c>
      <c r="B139" t="s">
        <v>20</v>
      </c>
      <c r="C139" s="12" t="s">
        <v>48</v>
      </c>
      <c r="D139" t="s">
        <v>197</v>
      </c>
      <c r="E139">
        <v>4362</v>
      </c>
      <c r="F139">
        <v>545</v>
      </c>
      <c r="G139">
        <f>385+1270</f>
        <v>1655</v>
      </c>
      <c r="H139">
        <v>1</v>
      </c>
      <c r="Q139">
        <v>1</v>
      </c>
      <c r="R139">
        <v>1</v>
      </c>
      <c r="S139">
        <v>1</v>
      </c>
      <c r="Y139">
        <f t="shared" si="6"/>
        <v>3388.62</v>
      </c>
      <c r="Z139">
        <f t="shared" si="7"/>
        <v>973.38000000000011</v>
      </c>
      <c r="AA139" s="9">
        <f t="shared" si="8"/>
        <v>0.22314993122420909</v>
      </c>
    </row>
    <row r="140" spans="1:27" x14ac:dyDescent="0.25">
      <c r="A140" s="3">
        <v>44334</v>
      </c>
      <c r="B140" t="s">
        <v>31</v>
      </c>
      <c r="C140" s="12" t="s">
        <v>31</v>
      </c>
      <c r="D140" t="s">
        <v>206</v>
      </c>
      <c r="E140">
        <v>1175</v>
      </c>
      <c r="F140">
        <v>15</v>
      </c>
      <c r="G140">
        <v>501</v>
      </c>
      <c r="H140">
        <v>1</v>
      </c>
      <c r="Q140">
        <v>1</v>
      </c>
      <c r="R140">
        <v>1</v>
      </c>
      <c r="U140">
        <v>1</v>
      </c>
      <c r="Y140">
        <f t="shared" si="6"/>
        <v>823</v>
      </c>
      <c r="Z140">
        <f t="shared" si="7"/>
        <v>352</v>
      </c>
      <c r="AA140" s="9">
        <f t="shared" si="8"/>
        <v>0.2995744680851064</v>
      </c>
    </row>
    <row r="141" spans="1:27" x14ac:dyDescent="0.25">
      <c r="A141" s="3">
        <v>44336</v>
      </c>
      <c r="B141" t="s">
        <v>31</v>
      </c>
      <c r="C141" s="12" t="s">
        <v>48</v>
      </c>
      <c r="D141" t="s">
        <v>210</v>
      </c>
      <c r="E141">
        <v>385</v>
      </c>
      <c r="F141">
        <v>50</v>
      </c>
      <c r="G141">
        <v>266</v>
      </c>
      <c r="H141">
        <v>1</v>
      </c>
      <c r="Y141">
        <f t="shared" si="6"/>
        <v>421.1</v>
      </c>
      <c r="Z141">
        <f t="shared" si="7"/>
        <v>-36.100000000000023</v>
      </c>
      <c r="AA141" s="9">
        <f t="shared" si="8"/>
        <v>-9.3766233766233831E-2</v>
      </c>
    </row>
    <row r="142" spans="1:27" x14ac:dyDescent="0.25">
      <c r="A142" s="3">
        <v>44335</v>
      </c>
      <c r="B142" t="s">
        <v>31</v>
      </c>
      <c r="C142" s="12" t="s">
        <v>34</v>
      </c>
      <c r="D142" t="s">
        <v>182</v>
      </c>
      <c r="E142">
        <v>1250</v>
      </c>
      <c r="F142">
        <f>48+72</f>
        <v>120</v>
      </c>
      <c r="G142">
        <v>350</v>
      </c>
      <c r="H142">
        <v>1</v>
      </c>
      <c r="Q142">
        <v>1</v>
      </c>
      <c r="R142">
        <v>1</v>
      </c>
      <c r="Y142">
        <f t="shared" si="6"/>
        <v>807</v>
      </c>
      <c r="Z142">
        <f t="shared" si="7"/>
        <v>443</v>
      </c>
      <c r="AA142" s="9">
        <f t="shared" si="8"/>
        <v>0.35439999999999999</v>
      </c>
    </row>
    <row r="143" spans="1:27" x14ac:dyDescent="0.25">
      <c r="A143" s="3">
        <v>44329</v>
      </c>
      <c r="B143" t="s">
        <v>31</v>
      </c>
      <c r="C143" s="12" t="s">
        <v>48</v>
      </c>
      <c r="D143" t="s">
        <v>211</v>
      </c>
      <c r="E143">
        <v>800</v>
      </c>
      <c r="F143">
        <v>0</v>
      </c>
      <c r="G143">
        <v>125</v>
      </c>
      <c r="Y143">
        <f t="shared" si="6"/>
        <v>333</v>
      </c>
      <c r="Z143">
        <f t="shared" si="7"/>
        <v>467</v>
      </c>
      <c r="AA143" s="9">
        <f t="shared" si="8"/>
        <v>0.58374999999999999</v>
      </c>
    </row>
    <row r="144" spans="1:27" x14ac:dyDescent="0.25">
      <c r="A144" s="3">
        <v>44335</v>
      </c>
      <c r="B144" t="s">
        <v>31</v>
      </c>
      <c r="C144" s="12" t="s">
        <v>21</v>
      </c>
      <c r="D144" t="s">
        <v>130</v>
      </c>
      <c r="E144">
        <v>1050</v>
      </c>
      <c r="F144">
        <v>78</v>
      </c>
      <c r="G144">
        <v>485</v>
      </c>
      <c r="H144">
        <v>1</v>
      </c>
      <c r="V144">
        <v>1</v>
      </c>
      <c r="Y144">
        <f t="shared" si="6"/>
        <v>843.8</v>
      </c>
      <c r="Z144">
        <f t="shared" si="7"/>
        <v>206.20000000000005</v>
      </c>
      <c r="AA144" s="9">
        <f t="shared" si="8"/>
        <v>0.19638095238095243</v>
      </c>
    </row>
    <row r="145" spans="1:27" x14ac:dyDescent="0.25">
      <c r="A145" s="3">
        <v>44340</v>
      </c>
      <c r="B145" t="s">
        <v>30</v>
      </c>
      <c r="C145" s="12" t="s">
        <v>30</v>
      </c>
      <c r="D145" t="s">
        <v>213</v>
      </c>
      <c r="E145">
        <v>250</v>
      </c>
      <c r="F145">
        <v>50</v>
      </c>
      <c r="G145">
        <v>0</v>
      </c>
      <c r="Y145">
        <f t="shared" si="6"/>
        <v>120</v>
      </c>
      <c r="Z145">
        <f t="shared" si="7"/>
        <v>130</v>
      </c>
      <c r="AA145" s="9">
        <f t="shared" si="8"/>
        <v>0.52</v>
      </c>
    </row>
    <row r="146" spans="1:27" x14ac:dyDescent="0.25">
      <c r="A146" s="3">
        <v>44340</v>
      </c>
      <c r="B146" t="s">
        <v>31</v>
      </c>
      <c r="C146" s="12" t="s">
        <v>48</v>
      </c>
      <c r="D146" t="s">
        <v>209</v>
      </c>
      <c r="E146">
        <v>1660</v>
      </c>
      <c r="F146">
        <f>192+42</f>
        <v>234</v>
      </c>
      <c r="G146">
        <v>206</v>
      </c>
      <c r="K146">
        <v>1</v>
      </c>
      <c r="L146">
        <v>1</v>
      </c>
      <c r="O146">
        <v>1</v>
      </c>
      <c r="P146">
        <v>1</v>
      </c>
      <c r="Y146">
        <f t="shared" si="6"/>
        <v>895</v>
      </c>
      <c r="Z146">
        <f t="shared" si="7"/>
        <v>765</v>
      </c>
      <c r="AA146" s="9">
        <f t="shared" si="8"/>
        <v>0.46084337349397592</v>
      </c>
    </row>
    <row r="147" spans="1:27" x14ac:dyDescent="0.25">
      <c r="A147" s="3">
        <v>44340</v>
      </c>
      <c r="B147" t="s">
        <v>31</v>
      </c>
      <c r="C147" s="12" t="s">
        <v>47</v>
      </c>
      <c r="D147" t="s">
        <v>198</v>
      </c>
      <c r="E147">
        <v>2480</v>
      </c>
      <c r="F147">
        <v>258</v>
      </c>
      <c r="G147">
        <f>390+400</f>
        <v>790</v>
      </c>
      <c r="L147">
        <v>1</v>
      </c>
      <c r="O147">
        <v>1</v>
      </c>
      <c r="P147">
        <v>1</v>
      </c>
      <c r="Y147">
        <f t="shared" si="6"/>
        <v>1718.6</v>
      </c>
      <c r="Z147">
        <f t="shared" si="7"/>
        <v>761.40000000000009</v>
      </c>
      <c r="AA147" s="9">
        <f t="shared" si="8"/>
        <v>0.30701612903225811</v>
      </c>
    </row>
    <row r="148" spans="1:27" x14ac:dyDescent="0.25">
      <c r="A148" s="3">
        <v>44326</v>
      </c>
      <c r="B148" t="s">
        <v>31</v>
      </c>
      <c r="C148" s="12" t="s">
        <v>31</v>
      </c>
      <c r="D148" t="s">
        <v>127</v>
      </c>
      <c r="E148">
        <v>1750</v>
      </c>
      <c r="F148">
        <f>72+120</f>
        <v>192</v>
      </c>
      <c r="G148">
        <v>513</v>
      </c>
      <c r="Y148">
        <f t="shared" si="6"/>
        <v>1179.2</v>
      </c>
      <c r="Z148">
        <f t="shared" si="7"/>
        <v>570.79999999999995</v>
      </c>
      <c r="AA148" s="9">
        <f t="shared" si="8"/>
        <v>0.32617142857142856</v>
      </c>
    </row>
    <row r="149" spans="1:27" x14ac:dyDescent="0.25">
      <c r="A149" s="3">
        <v>44342</v>
      </c>
      <c r="B149" t="s">
        <v>30</v>
      </c>
      <c r="C149" s="12" t="s">
        <v>47</v>
      </c>
      <c r="D149" t="s">
        <v>196</v>
      </c>
      <c r="E149">
        <v>2284</v>
      </c>
      <c r="F149">
        <v>235</v>
      </c>
      <c r="G149">
        <v>973</v>
      </c>
      <c r="I149">
        <v>1</v>
      </c>
      <c r="L149">
        <v>1</v>
      </c>
      <c r="M149">
        <v>1</v>
      </c>
      <c r="N149">
        <v>1</v>
      </c>
      <c r="P149">
        <v>1</v>
      </c>
      <c r="R149">
        <v>1</v>
      </c>
      <c r="S149">
        <v>1</v>
      </c>
      <c r="Y149">
        <f t="shared" si="6"/>
        <v>1825.3400000000001</v>
      </c>
      <c r="Z149">
        <f t="shared" si="7"/>
        <v>458.65999999999985</v>
      </c>
      <c r="AA149" s="9">
        <f t="shared" si="8"/>
        <v>0.20081436077057788</v>
      </c>
    </row>
    <row r="150" spans="1:27" x14ac:dyDescent="0.25">
      <c r="A150" s="3">
        <v>44340</v>
      </c>
      <c r="B150" t="s">
        <v>30</v>
      </c>
      <c r="C150" s="12" t="s">
        <v>48</v>
      </c>
      <c r="D150" t="s">
        <v>207</v>
      </c>
      <c r="E150">
        <v>5355</v>
      </c>
      <c r="F150">
        <f>420+228+342</f>
        <v>990</v>
      </c>
      <c r="G150">
        <f>335+985</f>
        <v>1320</v>
      </c>
      <c r="K150">
        <v>1</v>
      </c>
      <c r="O150">
        <v>1</v>
      </c>
      <c r="Y150">
        <f t="shared" si="6"/>
        <v>3801.3</v>
      </c>
      <c r="Z150">
        <f t="shared" si="7"/>
        <v>1553.6999999999998</v>
      </c>
      <c r="AA150" s="9">
        <f t="shared" si="8"/>
        <v>0.29014005602240894</v>
      </c>
    </row>
    <row r="151" spans="1:27" x14ac:dyDescent="0.25">
      <c r="A151" s="3">
        <v>44344</v>
      </c>
      <c r="B151" t="s">
        <v>31</v>
      </c>
      <c r="C151" s="12" t="s">
        <v>47</v>
      </c>
      <c r="D151" t="s">
        <v>194</v>
      </c>
      <c r="E151">
        <v>1150</v>
      </c>
      <c r="F151">
        <v>128</v>
      </c>
      <c r="G151">
        <v>275</v>
      </c>
      <c r="P151">
        <v>1</v>
      </c>
      <c r="Y151">
        <f t="shared" si="6"/>
        <v>714.8</v>
      </c>
      <c r="Z151">
        <f t="shared" si="7"/>
        <v>435.20000000000005</v>
      </c>
      <c r="AA151" s="9">
        <f t="shared" si="8"/>
        <v>0.37843478260869567</v>
      </c>
    </row>
    <row r="152" spans="1:27" x14ac:dyDescent="0.25">
      <c r="A152" s="3">
        <v>44340</v>
      </c>
      <c r="B152" t="s">
        <v>31</v>
      </c>
      <c r="C152" s="12" t="s">
        <v>34</v>
      </c>
      <c r="D152" t="s">
        <v>192</v>
      </c>
      <c r="E152">
        <v>6641</v>
      </c>
      <c r="F152">
        <v>734</v>
      </c>
      <c r="G152">
        <f>350+1675</f>
        <v>2025</v>
      </c>
      <c r="H152">
        <v>1</v>
      </c>
      <c r="Q152">
        <v>1</v>
      </c>
      <c r="R152">
        <v>1</v>
      </c>
      <c r="S152">
        <v>1</v>
      </c>
      <c r="T152">
        <v>1</v>
      </c>
      <c r="Y152">
        <f t="shared" si="6"/>
        <v>4559.0600000000004</v>
      </c>
      <c r="Z152">
        <f t="shared" si="7"/>
        <v>2081.9399999999996</v>
      </c>
      <c r="AA152" s="9">
        <f t="shared" si="8"/>
        <v>0.31349796717361839</v>
      </c>
    </row>
    <row r="153" spans="1:27" x14ac:dyDescent="0.25">
      <c r="A153" s="3">
        <v>44340</v>
      </c>
      <c r="B153" t="s">
        <v>31</v>
      </c>
      <c r="C153" s="12" t="s">
        <v>48</v>
      </c>
      <c r="D153" t="s">
        <v>179</v>
      </c>
      <c r="E153">
        <v>3100</v>
      </c>
      <c r="F153">
        <v>570</v>
      </c>
      <c r="G153">
        <v>915</v>
      </c>
      <c r="H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Y153">
        <f t="shared" si="6"/>
        <v>2348</v>
      </c>
      <c r="Z153">
        <f t="shared" si="7"/>
        <v>752</v>
      </c>
      <c r="AA153" s="9">
        <f t="shared" si="8"/>
        <v>0.24258064516129033</v>
      </c>
    </row>
    <row r="154" spans="1:27" x14ac:dyDescent="0.25">
      <c r="A154" s="3">
        <v>44305</v>
      </c>
      <c r="B154" t="s">
        <v>31</v>
      </c>
      <c r="C154" s="12" t="s">
        <v>31</v>
      </c>
      <c r="D154" t="s">
        <v>220</v>
      </c>
      <c r="E154">
        <v>300</v>
      </c>
      <c r="F154">
        <v>52</v>
      </c>
      <c r="G154">
        <v>0</v>
      </c>
      <c r="L154">
        <v>1</v>
      </c>
      <c r="M154">
        <v>1</v>
      </c>
      <c r="P154">
        <v>1</v>
      </c>
      <c r="Y154">
        <f t="shared" si="6"/>
        <v>135.19999999999999</v>
      </c>
      <c r="Z154">
        <f t="shared" si="7"/>
        <v>164.8</v>
      </c>
      <c r="AA154" s="9">
        <f t="shared" si="8"/>
        <v>0.54933333333333334</v>
      </c>
    </row>
    <row r="155" spans="1:27" x14ac:dyDescent="0.25">
      <c r="A155" s="3">
        <v>44349</v>
      </c>
      <c r="B155" t="s">
        <v>31</v>
      </c>
      <c r="C155" s="12" t="s">
        <v>47</v>
      </c>
      <c r="D155" t="s">
        <v>214</v>
      </c>
      <c r="E155">
        <v>524</v>
      </c>
      <c r="F155">
        <v>131</v>
      </c>
      <c r="G155">
        <f>285+72</f>
        <v>357</v>
      </c>
      <c r="H155">
        <v>1</v>
      </c>
      <c r="Q155">
        <v>1</v>
      </c>
      <c r="Y155">
        <f t="shared" si="6"/>
        <v>637.34</v>
      </c>
      <c r="Z155">
        <f t="shared" si="7"/>
        <v>-113.34000000000003</v>
      </c>
      <c r="AA155" s="9">
        <f t="shared" si="8"/>
        <v>-0.21629770992366418</v>
      </c>
    </row>
    <row r="156" spans="1:27" x14ac:dyDescent="0.25">
      <c r="A156" s="3">
        <v>44344</v>
      </c>
      <c r="B156" t="s">
        <v>31</v>
      </c>
      <c r="C156" s="12" t="s">
        <v>48</v>
      </c>
      <c r="D156" t="s">
        <v>193</v>
      </c>
      <c r="E156">
        <v>790</v>
      </c>
      <c r="F156">
        <f>84+44</f>
        <v>128</v>
      </c>
      <c r="G156">
        <v>250</v>
      </c>
      <c r="P156">
        <v>1</v>
      </c>
      <c r="Y156">
        <f t="shared" si="6"/>
        <v>596.20000000000005</v>
      </c>
      <c r="Z156">
        <f t="shared" si="7"/>
        <v>193.79999999999995</v>
      </c>
      <c r="AA156" s="9">
        <f t="shared" si="8"/>
        <v>0.24531645569620247</v>
      </c>
    </row>
    <row r="157" spans="1:27" x14ac:dyDescent="0.25">
      <c r="A157" s="3">
        <v>44348</v>
      </c>
      <c r="B157" t="s">
        <v>31</v>
      </c>
      <c r="C157" s="12" t="s">
        <v>48</v>
      </c>
      <c r="D157" t="s">
        <v>222</v>
      </c>
      <c r="E157">
        <v>5250</v>
      </c>
      <c r="F157">
        <f>160+456+80</f>
        <v>696</v>
      </c>
      <c r="G157">
        <v>1205</v>
      </c>
      <c r="I157">
        <v>1</v>
      </c>
      <c r="K157">
        <v>1</v>
      </c>
      <c r="P157">
        <v>1</v>
      </c>
      <c r="S157">
        <v>1</v>
      </c>
      <c r="Y157">
        <f t="shared" si="6"/>
        <v>3335.6</v>
      </c>
      <c r="Z157">
        <f t="shared" si="7"/>
        <v>1914.4</v>
      </c>
      <c r="AA157" s="9">
        <f t="shared" si="8"/>
        <v>0.36464761904761905</v>
      </c>
    </row>
    <row r="158" spans="1:27" x14ac:dyDescent="0.25">
      <c r="A158" s="3">
        <v>44351</v>
      </c>
      <c r="B158" t="s">
        <v>31</v>
      </c>
      <c r="C158" s="12" t="s">
        <v>47</v>
      </c>
      <c r="D158" t="s">
        <v>212</v>
      </c>
      <c r="E158">
        <v>200</v>
      </c>
      <c r="F158">
        <v>29</v>
      </c>
      <c r="G158">
        <v>60</v>
      </c>
      <c r="I158">
        <v>1</v>
      </c>
      <c r="Y158">
        <f t="shared" si="6"/>
        <v>143.9</v>
      </c>
      <c r="Z158">
        <f t="shared" si="7"/>
        <v>56.099999999999994</v>
      </c>
      <c r="AA158" s="9">
        <f t="shared" si="8"/>
        <v>0.28049999999999997</v>
      </c>
    </row>
    <row r="159" spans="1:27" x14ac:dyDescent="0.25">
      <c r="A159" s="3">
        <v>44348</v>
      </c>
      <c r="B159" t="s">
        <v>31</v>
      </c>
      <c r="C159" s="12" t="s">
        <v>34</v>
      </c>
      <c r="D159" t="s">
        <v>208</v>
      </c>
      <c r="E159">
        <v>4708</v>
      </c>
      <c r="F159">
        <f>459+50+48+133+24</f>
        <v>714</v>
      </c>
      <c r="G159">
        <v>1825</v>
      </c>
      <c r="H159">
        <v>1</v>
      </c>
      <c r="Q159">
        <v>1</v>
      </c>
      <c r="R159">
        <v>1</v>
      </c>
      <c r="W159">
        <v>1</v>
      </c>
      <c r="Y159">
        <f t="shared" si="6"/>
        <v>3834.4800000000005</v>
      </c>
      <c r="Z159">
        <f t="shared" si="7"/>
        <v>873.51999999999953</v>
      </c>
      <c r="AA159" s="9">
        <f t="shared" si="8"/>
        <v>0.18553950722175011</v>
      </c>
    </row>
    <row r="160" spans="1:27" x14ac:dyDescent="0.25">
      <c r="A160" s="3">
        <v>44350</v>
      </c>
      <c r="B160" t="s">
        <v>31</v>
      </c>
      <c r="C160" s="12" t="s">
        <v>47</v>
      </c>
      <c r="D160" t="s">
        <v>217</v>
      </c>
      <c r="E160">
        <v>2000</v>
      </c>
      <c r="F160">
        <v>209</v>
      </c>
      <c r="G160">
        <v>480</v>
      </c>
      <c r="P160">
        <v>1</v>
      </c>
      <c r="S160">
        <v>1</v>
      </c>
      <c r="Y160">
        <f t="shared" si="6"/>
        <v>1229.9000000000001</v>
      </c>
      <c r="Z160">
        <f t="shared" si="7"/>
        <v>770.09999999999991</v>
      </c>
      <c r="AA160" s="9">
        <f t="shared" si="8"/>
        <v>0.38504999999999995</v>
      </c>
    </row>
    <row r="161" spans="1:27" x14ac:dyDescent="0.25">
      <c r="A161" s="3">
        <v>44348</v>
      </c>
      <c r="B161" t="s">
        <v>30</v>
      </c>
      <c r="C161" s="12" t="s">
        <v>47</v>
      </c>
      <c r="D161" t="s">
        <v>223</v>
      </c>
      <c r="E161">
        <v>1276</v>
      </c>
      <c r="F161">
        <v>160</v>
      </c>
      <c r="G161">
        <v>506</v>
      </c>
      <c r="M161">
        <v>1</v>
      </c>
      <c r="Q161">
        <v>1</v>
      </c>
      <c r="R161">
        <v>1</v>
      </c>
      <c r="Y161">
        <f t="shared" si="6"/>
        <v>1013.76</v>
      </c>
      <c r="Z161">
        <f t="shared" si="7"/>
        <v>262.24</v>
      </c>
      <c r="AA161" s="9">
        <f t="shared" si="8"/>
        <v>0.20551724137931035</v>
      </c>
    </row>
    <row r="162" spans="1:27" x14ac:dyDescent="0.25">
      <c r="A162" s="3">
        <v>44348</v>
      </c>
      <c r="B162" t="s">
        <v>31</v>
      </c>
      <c r="C162" s="12" t="s">
        <v>34</v>
      </c>
      <c r="D162" t="s">
        <v>218</v>
      </c>
      <c r="E162">
        <v>6390</v>
      </c>
      <c r="F162">
        <f>78+328</f>
        <v>406</v>
      </c>
      <c r="G162">
        <v>1875</v>
      </c>
      <c r="I162">
        <v>1</v>
      </c>
      <c r="L162">
        <v>1</v>
      </c>
      <c r="M162">
        <v>1</v>
      </c>
      <c r="O162">
        <v>1</v>
      </c>
      <c r="Y162">
        <f t="shared" si="6"/>
        <v>3983</v>
      </c>
      <c r="Z162">
        <f t="shared" si="7"/>
        <v>2407</v>
      </c>
      <c r="AA162" s="9">
        <f t="shared" si="8"/>
        <v>0.37668231611893582</v>
      </c>
    </row>
    <row r="163" spans="1:27" x14ac:dyDescent="0.25">
      <c r="A163" s="3">
        <v>44354</v>
      </c>
      <c r="B163" t="s">
        <v>31</v>
      </c>
      <c r="C163" s="12" t="s">
        <v>34</v>
      </c>
      <c r="D163" t="s">
        <v>205</v>
      </c>
      <c r="E163">
        <v>1595</v>
      </c>
      <c r="F163">
        <f>43+41</f>
        <v>84</v>
      </c>
      <c r="G163">
        <f>340+175</f>
        <v>515</v>
      </c>
      <c r="L163">
        <v>1</v>
      </c>
      <c r="P163">
        <v>1</v>
      </c>
      <c r="Y163">
        <f t="shared" si="6"/>
        <v>1022.0999999999999</v>
      </c>
      <c r="Z163">
        <f t="shared" si="7"/>
        <v>572.90000000000009</v>
      </c>
      <c r="AA163" s="9">
        <f t="shared" si="8"/>
        <v>0.35918495297805647</v>
      </c>
    </row>
    <row r="164" spans="1:27" x14ac:dyDescent="0.25">
      <c r="A164" s="3">
        <v>44356</v>
      </c>
      <c r="B164" t="s">
        <v>31</v>
      </c>
      <c r="C164" s="12" t="s">
        <v>34</v>
      </c>
      <c r="D164" t="s">
        <v>226</v>
      </c>
      <c r="E164">
        <v>750</v>
      </c>
      <c r="F164">
        <v>40</v>
      </c>
      <c r="G164">
        <v>355</v>
      </c>
      <c r="L164">
        <v>1</v>
      </c>
      <c r="P164">
        <v>1</v>
      </c>
      <c r="S164">
        <v>1</v>
      </c>
      <c r="Y164">
        <f t="shared" si="6"/>
        <v>594</v>
      </c>
      <c r="Z164">
        <f t="shared" si="7"/>
        <v>156</v>
      </c>
      <c r="AA164" s="9">
        <f t="shared" si="8"/>
        <v>0.20799999999999999</v>
      </c>
    </row>
    <row r="165" spans="1:27" x14ac:dyDescent="0.25">
      <c r="A165" s="3">
        <v>44354</v>
      </c>
      <c r="B165" t="s">
        <v>31</v>
      </c>
      <c r="C165" s="12" t="s">
        <v>47</v>
      </c>
      <c r="D165" t="s">
        <v>93</v>
      </c>
      <c r="E165">
        <v>7522</v>
      </c>
      <c r="F165">
        <f>40+83+456+84+342+228+120</f>
        <v>1353</v>
      </c>
      <c r="G165">
        <f>560+1906</f>
        <v>2466</v>
      </c>
      <c r="L165">
        <v>1</v>
      </c>
      <c r="P165">
        <v>1</v>
      </c>
      <c r="Y165">
        <f t="shared" si="6"/>
        <v>5910.02</v>
      </c>
      <c r="Z165">
        <f t="shared" si="7"/>
        <v>1611.9799999999996</v>
      </c>
      <c r="AA165" s="9">
        <f t="shared" si="8"/>
        <v>0.21430204732783828</v>
      </c>
    </row>
    <row r="166" spans="1:27" x14ac:dyDescent="0.25">
      <c r="A166" s="3">
        <v>44358</v>
      </c>
      <c r="B166" t="s">
        <v>31</v>
      </c>
      <c r="C166" s="12" t="s">
        <v>34</v>
      </c>
      <c r="D166" t="s">
        <v>227</v>
      </c>
      <c r="E166">
        <v>300</v>
      </c>
      <c r="F166">
        <v>62</v>
      </c>
      <c r="G166">
        <v>105</v>
      </c>
      <c r="H166">
        <v>1</v>
      </c>
      <c r="Y166">
        <f t="shared" si="6"/>
        <v>251.2</v>
      </c>
      <c r="Z166">
        <f t="shared" si="7"/>
        <v>48.800000000000011</v>
      </c>
      <c r="AA166" s="9">
        <f t="shared" si="8"/>
        <v>0.16266666666666671</v>
      </c>
    </row>
    <row r="167" spans="1:27" x14ac:dyDescent="0.25">
      <c r="A167" s="3">
        <v>44357</v>
      </c>
      <c r="B167" t="s">
        <v>31</v>
      </c>
      <c r="C167" s="12" t="s">
        <v>34</v>
      </c>
      <c r="D167" t="s">
        <v>224</v>
      </c>
      <c r="E167">
        <v>600</v>
      </c>
      <c r="F167">
        <v>102</v>
      </c>
      <c r="G167">
        <v>365</v>
      </c>
      <c r="H167">
        <v>1</v>
      </c>
      <c r="Q167">
        <v>1</v>
      </c>
      <c r="Y167">
        <f t="shared" si="6"/>
        <v>633.20000000000005</v>
      </c>
      <c r="Z167">
        <f t="shared" si="7"/>
        <v>-33.200000000000045</v>
      </c>
      <c r="AA167" s="9">
        <f t="shared" si="8"/>
        <v>-5.5333333333333408E-2</v>
      </c>
    </row>
    <row r="168" spans="1:27" x14ac:dyDescent="0.25">
      <c r="A168" s="3">
        <v>44362</v>
      </c>
      <c r="B168" t="s">
        <v>31</v>
      </c>
      <c r="C168" s="12" t="s">
        <v>48</v>
      </c>
      <c r="D168" t="s">
        <v>225</v>
      </c>
      <c r="E168">
        <v>1135</v>
      </c>
      <c r="F168">
        <v>234</v>
      </c>
      <c r="G168">
        <v>425</v>
      </c>
      <c r="J168">
        <v>1</v>
      </c>
      <c r="L168">
        <v>1</v>
      </c>
      <c r="M168">
        <v>1</v>
      </c>
      <c r="O168">
        <v>1</v>
      </c>
      <c r="S168">
        <v>1</v>
      </c>
      <c r="Y168">
        <f t="shared" si="6"/>
        <v>977.50000000000011</v>
      </c>
      <c r="Z168">
        <f t="shared" si="7"/>
        <v>157.49999999999989</v>
      </c>
      <c r="AA168" s="9">
        <f t="shared" si="8"/>
        <v>0.13876651982378846</v>
      </c>
    </row>
    <row r="169" spans="1:27" x14ac:dyDescent="0.25">
      <c r="A169" s="3">
        <v>44361</v>
      </c>
      <c r="B169" t="s">
        <v>31</v>
      </c>
      <c r="C169" s="12" t="s">
        <v>48</v>
      </c>
      <c r="D169" t="s">
        <v>190</v>
      </c>
      <c r="E169">
        <v>200</v>
      </c>
      <c r="F169">
        <v>40</v>
      </c>
      <c r="G169">
        <v>145</v>
      </c>
      <c r="L169">
        <v>1</v>
      </c>
      <c r="O169">
        <v>1</v>
      </c>
      <c r="Y169">
        <f t="shared" si="6"/>
        <v>241</v>
      </c>
      <c r="Z169">
        <f t="shared" si="7"/>
        <v>-41</v>
      </c>
      <c r="AA169" s="9">
        <f t="shared" si="8"/>
        <v>-0.20499999999999999</v>
      </c>
    </row>
    <row r="170" spans="1:27" x14ac:dyDescent="0.25">
      <c r="A170" s="3">
        <v>44361</v>
      </c>
      <c r="B170" t="s">
        <v>31</v>
      </c>
      <c r="C170" t="s">
        <v>20</v>
      </c>
      <c r="D170" t="s">
        <v>219</v>
      </c>
      <c r="E170">
        <v>2225</v>
      </c>
      <c r="F170">
        <f>134+45</f>
        <v>179</v>
      </c>
      <c r="G170">
        <f>500+135</f>
        <v>635</v>
      </c>
      <c r="P170">
        <v>1</v>
      </c>
      <c r="R170">
        <v>1</v>
      </c>
      <c r="Y170">
        <f t="shared" si="6"/>
        <v>1410.4</v>
      </c>
      <c r="Z170">
        <f t="shared" si="7"/>
        <v>814.59999999999991</v>
      </c>
      <c r="AA170" s="9">
        <f t="shared" si="8"/>
        <v>0.36611235955056176</v>
      </c>
    </row>
    <row r="171" spans="1:27" x14ac:dyDescent="0.25">
      <c r="A171" s="3">
        <v>44363</v>
      </c>
      <c r="B171" t="s">
        <v>31</v>
      </c>
      <c r="C171" s="12" t="s">
        <v>34</v>
      </c>
      <c r="D171" t="s">
        <v>230</v>
      </c>
      <c r="E171">
        <v>3400</v>
      </c>
      <c r="F171">
        <f>228+278+278</f>
        <v>784</v>
      </c>
      <c r="G171">
        <v>850</v>
      </c>
      <c r="K171">
        <v>1</v>
      </c>
      <c r="L171">
        <v>1</v>
      </c>
      <c r="P171">
        <v>1</v>
      </c>
      <c r="S171">
        <v>1</v>
      </c>
      <c r="Y171">
        <f t="shared" si="6"/>
        <v>2596.4</v>
      </c>
      <c r="Z171">
        <f t="shared" si="7"/>
        <v>803.59999999999991</v>
      </c>
      <c r="AA171" s="9">
        <f t="shared" si="8"/>
        <v>0.23635294117647057</v>
      </c>
    </row>
    <row r="172" spans="1:27" x14ac:dyDescent="0.25">
      <c r="A172" s="3">
        <v>44362</v>
      </c>
      <c r="B172" t="s">
        <v>31</v>
      </c>
      <c r="C172" s="12" t="s">
        <v>47</v>
      </c>
      <c r="D172" t="s">
        <v>232</v>
      </c>
      <c r="E172">
        <v>2504</v>
      </c>
      <c r="F172">
        <v>499</v>
      </c>
      <c r="G172">
        <v>1140</v>
      </c>
      <c r="H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Y172">
        <f t="shared" si="6"/>
        <v>2339.94</v>
      </c>
      <c r="Z172">
        <f t="shared" si="7"/>
        <v>164.05999999999995</v>
      </c>
      <c r="AA172" s="9">
        <f t="shared" si="8"/>
        <v>6.5519169329073465E-2</v>
      </c>
    </row>
    <row r="173" spans="1:27" x14ac:dyDescent="0.25">
      <c r="A173" s="3">
        <v>44365</v>
      </c>
      <c r="B173" t="s">
        <v>31</v>
      </c>
      <c r="C173" t="s">
        <v>47</v>
      </c>
      <c r="D173" t="s">
        <v>229</v>
      </c>
      <c r="E173">
        <v>333</v>
      </c>
      <c r="F173">
        <v>40</v>
      </c>
      <c r="G173">
        <v>125</v>
      </c>
      <c r="M173">
        <v>1</v>
      </c>
      <c r="S173">
        <v>1</v>
      </c>
      <c r="Y173">
        <f t="shared" si="6"/>
        <v>255.57999999999998</v>
      </c>
      <c r="Z173">
        <f t="shared" si="7"/>
        <v>77.420000000000016</v>
      </c>
      <c r="AA173" s="9">
        <f t="shared" si="8"/>
        <v>0.23249249249249254</v>
      </c>
    </row>
    <row r="174" spans="1:27" x14ac:dyDescent="0.25">
      <c r="A174" s="3">
        <v>44368</v>
      </c>
      <c r="B174" t="s">
        <v>30</v>
      </c>
      <c r="C174" t="s">
        <v>20</v>
      </c>
      <c r="D174" t="s">
        <v>237</v>
      </c>
      <c r="E174">
        <v>823</v>
      </c>
      <c r="F174">
        <v>103</v>
      </c>
      <c r="G174">
        <v>370</v>
      </c>
      <c r="L174">
        <v>1</v>
      </c>
      <c r="M174">
        <v>1</v>
      </c>
      <c r="P174">
        <v>1</v>
      </c>
      <c r="S174">
        <v>1</v>
      </c>
      <c r="Y174">
        <f t="shared" si="6"/>
        <v>697.28</v>
      </c>
      <c r="Z174">
        <f t="shared" si="7"/>
        <v>125.72000000000003</v>
      </c>
      <c r="AA174" s="9">
        <f t="shared" si="8"/>
        <v>0.15275820170109358</v>
      </c>
    </row>
    <row r="175" spans="1:27" x14ac:dyDescent="0.25">
      <c r="A175" s="3">
        <v>44368</v>
      </c>
      <c r="B175" t="s">
        <v>30</v>
      </c>
      <c r="C175" t="s">
        <v>47</v>
      </c>
      <c r="D175" t="s">
        <v>234</v>
      </c>
      <c r="E175">
        <v>2900</v>
      </c>
      <c r="F175">
        <v>117</v>
      </c>
      <c r="G175">
        <v>400</v>
      </c>
      <c r="H175">
        <v>1</v>
      </c>
      <c r="S175">
        <v>1</v>
      </c>
      <c r="V175">
        <v>1</v>
      </c>
      <c r="Y175">
        <f t="shared" si="6"/>
        <v>1282.7</v>
      </c>
      <c r="Z175">
        <f t="shared" si="7"/>
        <v>1617.3</v>
      </c>
      <c r="AA175" s="9">
        <f t="shared" si="8"/>
        <v>0.55768965517241376</v>
      </c>
    </row>
    <row r="176" spans="1:27" x14ac:dyDescent="0.25">
      <c r="A176" s="3">
        <v>44372</v>
      </c>
      <c r="B176" t="s">
        <v>31</v>
      </c>
      <c r="C176" t="s">
        <v>20</v>
      </c>
      <c r="D176" t="s">
        <v>241</v>
      </c>
      <c r="E176">
        <v>988</v>
      </c>
      <c r="F176">
        <v>89</v>
      </c>
      <c r="G176">
        <v>313</v>
      </c>
      <c r="M176">
        <v>1</v>
      </c>
      <c r="N176">
        <v>1</v>
      </c>
      <c r="P176">
        <v>1</v>
      </c>
      <c r="S176">
        <v>1</v>
      </c>
      <c r="Y176">
        <f t="shared" si="6"/>
        <v>667.78</v>
      </c>
      <c r="Z176">
        <f t="shared" si="7"/>
        <v>320.22000000000003</v>
      </c>
      <c r="AA176" s="9">
        <f t="shared" si="8"/>
        <v>0.32410931174089069</v>
      </c>
    </row>
    <row r="177" spans="1:27" x14ac:dyDescent="0.25">
      <c r="A177" s="3">
        <v>44371</v>
      </c>
      <c r="B177" t="s">
        <v>31</v>
      </c>
      <c r="C177" t="s">
        <v>47</v>
      </c>
      <c r="D177" t="s">
        <v>235</v>
      </c>
      <c r="E177">
        <v>450</v>
      </c>
      <c r="F177">
        <v>114</v>
      </c>
      <c r="G177">
        <v>130</v>
      </c>
      <c r="K177">
        <v>1</v>
      </c>
      <c r="Y177">
        <f t="shared" si="6"/>
        <v>372.4</v>
      </c>
      <c r="Z177">
        <f t="shared" si="7"/>
        <v>77.600000000000023</v>
      </c>
      <c r="AA177" s="9">
        <f t="shared" si="8"/>
        <v>0.17244444444444448</v>
      </c>
    </row>
    <row r="178" spans="1:27" x14ac:dyDescent="0.25">
      <c r="A178" s="3">
        <v>44371</v>
      </c>
      <c r="B178" t="s">
        <v>31</v>
      </c>
      <c r="C178" t="s">
        <v>48</v>
      </c>
      <c r="D178" t="s">
        <v>46</v>
      </c>
      <c r="E178">
        <v>1225</v>
      </c>
      <c r="F178">
        <v>227</v>
      </c>
      <c r="G178">
        <v>250</v>
      </c>
      <c r="T178">
        <v>1</v>
      </c>
      <c r="Y178">
        <f t="shared" si="6"/>
        <v>818.2</v>
      </c>
      <c r="Z178">
        <f t="shared" si="7"/>
        <v>406.79999999999995</v>
      </c>
      <c r="AA178" s="9">
        <f t="shared" si="8"/>
        <v>0.33208163265306118</v>
      </c>
    </row>
    <row r="179" spans="1:27" x14ac:dyDescent="0.25">
      <c r="A179" s="3">
        <v>44376</v>
      </c>
      <c r="B179" t="s">
        <v>30</v>
      </c>
      <c r="C179" t="s">
        <v>48</v>
      </c>
      <c r="D179" t="s">
        <v>244</v>
      </c>
      <c r="E179">
        <v>3897</v>
      </c>
      <c r="F179">
        <v>339</v>
      </c>
      <c r="G179">
        <v>780</v>
      </c>
      <c r="H179">
        <v>1</v>
      </c>
      <c r="P179">
        <v>1</v>
      </c>
      <c r="Q179">
        <v>1</v>
      </c>
      <c r="S179">
        <v>1</v>
      </c>
      <c r="T179">
        <v>1</v>
      </c>
      <c r="Y179">
        <f t="shared" si="6"/>
        <v>2166.12</v>
      </c>
      <c r="Z179">
        <f t="shared" si="7"/>
        <v>1730.88</v>
      </c>
      <c r="AA179" s="9">
        <f t="shared" si="8"/>
        <v>0.44415704387990768</v>
      </c>
    </row>
    <row r="180" spans="1:27" x14ac:dyDescent="0.25">
      <c r="A180" s="3">
        <v>44375</v>
      </c>
      <c r="B180" t="s">
        <v>31</v>
      </c>
      <c r="C180" t="s">
        <v>20</v>
      </c>
      <c r="D180" t="s">
        <v>243</v>
      </c>
      <c r="E180">
        <v>2156</v>
      </c>
      <c r="F180">
        <v>144</v>
      </c>
      <c r="G180">
        <f>301+330</f>
        <v>631</v>
      </c>
      <c r="I180">
        <v>1</v>
      </c>
      <c r="L180">
        <v>1</v>
      </c>
      <c r="M180">
        <v>1</v>
      </c>
      <c r="P180">
        <v>1</v>
      </c>
      <c r="S180">
        <v>1</v>
      </c>
      <c r="Y180">
        <f t="shared" si="6"/>
        <v>1349.96</v>
      </c>
      <c r="Z180">
        <f t="shared" si="7"/>
        <v>806.04</v>
      </c>
      <c r="AA180" s="9">
        <f t="shared" si="8"/>
        <v>0.37385899814471241</v>
      </c>
    </row>
    <row r="181" spans="1:27" x14ac:dyDescent="0.25">
      <c r="A181" s="3">
        <v>44377</v>
      </c>
      <c r="B181" t="s">
        <v>31</v>
      </c>
      <c r="C181" t="s">
        <v>20</v>
      </c>
      <c r="D181" t="s">
        <v>245</v>
      </c>
      <c r="E181">
        <v>1762</v>
      </c>
      <c r="F181">
        <v>120</v>
      </c>
      <c r="G181">
        <v>757</v>
      </c>
      <c r="L181">
        <v>1</v>
      </c>
      <c r="M181">
        <v>1</v>
      </c>
      <c r="O181">
        <v>1</v>
      </c>
      <c r="P181">
        <v>1</v>
      </c>
      <c r="S181">
        <v>1</v>
      </c>
      <c r="Y181">
        <f t="shared" si="6"/>
        <v>1347.12</v>
      </c>
      <c r="Z181">
        <f t="shared" si="7"/>
        <v>414.88000000000011</v>
      </c>
      <c r="AA181" s="9">
        <f t="shared" si="8"/>
        <v>0.23545970488081733</v>
      </c>
    </row>
    <row r="182" spans="1:27" x14ac:dyDescent="0.25">
      <c r="A182" s="3">
        <v>44383</v>
      </c>
      <c r="B182" t="s">
        <v>102</v>
      </c>
      <c r="C182" t="s">
        <v>48</v>
      </c>
      <c r="D182" t="s">
        <v>247</v>
      </c>
      <c r="E182">
        <v>1408</v>
      </c>
      <c r="F182">
        <v>222</v>
      </c>
      <c r="G182">
        <v>355</v>
      </c>
      <c r="H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Y182">
        <f t="shared" si="6"/>
        <v>965.28000000000009</v>
      </c>
      <c r="Z182">
        <f t="shared" si="7"/>
        <v>442.71999999999991</v>
      </c>
      <c r="AA182" s="9">
        <f t="shared" si="8"/>
        <v>0.31443181818181815</v>
      </c>
    </row>
    <row r="183" spans="1:27" x14ac:dyDescent="0.25">
      <c r="A183" s="3">
        <v>44375</v>
      </c>
      <c r="B183" t="s">
        <v>30</v>
      </c>
      <c r="C183" t="s">
        <v>47</v>
      </c>
      <c r="D183" t="s">
        <v>238</v>
      </c>
      <c r="E183">
        <v>5628</v>
      </c>
      <c r="F183">
        <f>156+469+135+164+232</f>
        <v>1156</v>
      </c>
      <c r="G183">
        <f>375+2503+415</f>
        <v>3293</v>
      </c>
      <c r="H183">
        <v>1</v>
      </c>
      <c r="Q183">
        <v>1</v>
      </c>
      <c r="V183">
        <v>1</v>
      </c>
      <c r="Y183">
        <f t="shared" si="6"/>
        <v>6027.88</v>
      </c>
      <c r="Z183">
        <f t="shared" si="7"/>
        <v>-399.88000000000011</v>
      </c>
      <c r="AA183" s="9">
        <f t="shared" si="8"/>
        <v>-7.1051883439943161E-2</v>
      </c>
    </row>
    <row r="184" spans="1:27" x14ac:dyDescent="0.25">
      <c r="A184" s="3">
        <v>44375</v>
      </c>
      <c r="B184" t="s">
        <v>31</v>
      </c>
      <c r="C184" t="s">
        <v>47</v>
      </c>
      <c r="D184" t="s">
        <v>242</v>
      </c>
      <c r="E184">
        <v>1386</v>
      </c>
      <c r="F184">
        <f>77+24</f>
        <v>101</v>
      </c>
      <c r="G184">
        <v>321</v>
      </c>
      <c r="H184">
        <v>1</v>
      </c>
      <c r="Q184">
        <v>1</v>
      </c>
      <c r="R184">
        <v>1</v>
      </c>
      <c r="U184">
        <v>1</v>
      </c>
      <c r="Y184">
        <f t="shared" si="6"/>
        <v>792.46</v>
      </c>
      <c r="Z184">
        <f t="shared" si="7"/>
        <v>593.54</v>
      </c>
      <c r="AA184" s="9">
        <f t="shared" si="8"/>
        <v>0.4282395382395382</v>
      </c>
    </row>
    <row r="185" spans="1:27" x14ac:dyDescent="0.25">
      <c r="A185" s="3">
        <v>44393</v>
      </c>
      <c r="B185" t="s">
        <v>31</v>
      </c>
      <c r="C185" s="12" t="s">
        <v>34</v>
      </c>
      <c r="D185" t="s">
        <v>258</v>
      </c>
      <c r="E185">
        <v>496</v>
      </c>
      <c r="F185">
        <v>80</v>
      </c>
      <c r="G185">
        <v>175</v>
      </c>
      <c r="L185">
        <v>1</v>
      </c>
      <c r="P185">
        <v>1</v>
      </c>
      <c r="S185">
        <v>1</v>
      </c>
      <c r="Y185">
        <f t="shared" si="6"/>
        <v>391.96000000000004</v>
      </c>
      <c r="Z185">
        <f t="shared" si="7"/>
        <v>104.03999999999996</v>
      </c>
      <c r="AA185" s="9">
        <f t="shared" si="8"/>
        <v>0.20975806451612897</v>
      </c>
    </row>
    <row r="186" spans="1:27" x14ac:dyDescent="0.25">
      <c r="A186" s="3">
        <v>44371</v>
      </c>
      <c r="B186" t="s">
        <v>31</v>
      </c>
      <c r="C186" t="s">
        <v>34</v>
      </c>
      <c r="D186" t="s">
        <v>233</v>
      </c>
      <c r="E186">
        <v>3398</v>
      </c>
      <c r="F186">
        <f>292+139</f>
        <v>431</v>
      </c>
      <c r="G186">
        <f>2038+590</f>
        <v>2628</v>
      </c>
      <c r="H186">
        <v>1</v>
      </c>
      <c r="Q186">
        <v>1</v>
      </c>
      <c r="R186">
        <v>1</v>
      </c>
      <c r="S186">
        <v>1</v>
      </c>
      <c r="Y186">
        <f t="shared" si="6"/>
        <v>3985.58</v>
      </c>
      <c r="Z186">
        <f t="shared" si="7"/>
        <v>-587.57999999999993</v>
      </c>
      <c r="AA186" s="9">
        <f t="shared" si="8"/>
        <v>-0.17291936433195995</v>
      </c>
    </row>
    <row r="187" spans="1:27" x14ac:dyDescent="0.25">
      <c r="A187" s="3">
        <v>44385</v>
      </c>
      <c r="B187" t="s">
        <v>30</v>
      </c>
      <c r="C187" t="s">
        <v>47</v>
      </c>
      <c r="D187" t="s">
        <v>249</v>
      </c>
      <c r="E187">
        <v>2722</v>
      </c>
      <c r="F187">
        <f>300+102+68</f>
        <v>470</v>
      </c>
      <c r="G187">
        <v>770</v>
      </c>
      <c r="H187">
        <v>1</v>
      </c>
      <c r="Q187">
        <v>1</v>
      </c>
      <c r="W187">
        <v>1</v>
      </c>
      <c r="Y187">
        <f t="shared" si="6"/>
        <v>1994.72</v>
      </c>
      <c r="Z187">
        <f t="shared" si="7"/>
        <v>727.28</v>
      </c>
      <c r="AA187" s="9">
        <f t="shared" si="8"/>
        <v>0.26718589272593679</v>
      </c>
    </row>
    <row r="188" spans="1:27" x14ac:dyDescent="0.25">
      <c r="A188" s="3">
        <v>44385</v>
      </c>
      <c r="B188" t="s">
        <v>31</v>
      </c>
      <c r="C188" t="s">
        <v>48</v>
      </c>
      <c r="D188" t="s">
        <v>246</v>
      </c>
      <c r="E188">
        <v>3425</v>
      </c>
      <c r="F188">
        <f>111+31+58+123</f>
        <v>323</v>
      </c>
      <c r="G188">
        <f>400+585</f>
        <v>985</v>
      </c>
      <c r="H188">
        <v>1</v>
      </c>
      <c r="L188">
        <v>1</v>
      </c>
      <c r="O188">
        <v>1</v>
      </c>
      <c r="P188">
        <v>1</v>
      </c>
      <c r="Y188">
        <f t="shared" si="6"/>
        <v>2230.8000000000002</v>
      </c>
      <c r="Z188">
        <f t="shared" si="7"/>
        <v>1194.1999999999998</v>
      </c>
      <c r="AA188" s="9">
        <f t="shared" si="8"/>
        <v>0.34867153284671526</v>
      </c>
    </row>
    <row r="189" spans="1:27" x14ac:dyDescent="0.25">
      <c r="A189" s="3">
        <v>44392</v>
      </c>
      <c r="B189" t="s">
        <v>31</v>
      </c>
      <c r="C189" t="s">
        <v>48</v>
      </c>
      <c r="D189" t="s">
        <v>254</v>
      </c>
      <c r="E189">
        <v>500</v>
      </c>
      <c r="F189">
        <v>85</v>
      </c>
      <c r="G189">
        <v>205</v>
      </c>
      <c r="O189">
        <v>1</v>
      </c>
      <c r="Y189">
        <f t="shared" si="6"/>
        <v>428.5</v>
      </c>
      <c r="Z189">
        <f t="shared" si="7"/>
        <v>71.5</v>
      </c>
      <c r="AA189" s="9">
        <f t="shared" si="8"/>
        <v>0.14299999999999999</v>
      </c>
    </row>
    <row r="190" spans="1:27" x14ac:dyDescent="0.25">
      <c r="A190" s="3">
        <v>44386</v>
      </c>
      <c r="B190" t="s">
        <v>31</v>
      </c>
      <c r="C190" t="s">
        <v>34</v>
      </c>
      <c r="D190" t="s">
        <v>257</v>
      </c>
      <c r="E190">
        <v>750</v>
      </c>
      <c r="F190">
        <f>39+39</f>
        <v>78</v>
      </c>
      <c r="G190">
        <v>300</v>
      </c>
      <c r="L190">
        <v>1</v>
      </c>
      <c r="O190">
        <v>1</v>
      </c>
      <c r="Y190">
        <f t="shared" si="6"/>
        <v>580.79999999999995</v>
      </c>
      <c r="Z190">
        <f t="shared" si="7"/>
        <v>169.20000000000005</v>
      </c>
      <c r="AA190" s="9">
        <f t="shared" si="8"/>
        <v>0.22560000000000005</v>
      </c>
    </row>
    <row r="191" spans="1:27" x14ac:dyDescent="0.25">
      <c r="A191" s="3">
        <v>44375</v>
      </c>
      <c r="B191" t="s">
        <v>31</v>
      </c>
      <c r="C191" t="s">
        <v>48</v>
      </c>
      <c r="D191" t="s">
        <v>239</v>
      </c>
      <c r="E191">
        <v>450</v>
      </c>
      <c r="F191">
        <v>37</v>
      </c>
      <c r="G191">
        <v>231</v>
      </c>
      <c r="O191">
        <v>1</v>
      </c>
      <c r="Y191">
        <f t="shared" si="6"/>
        <v>388.7</v>
      </c>
      <c r="Z191">
        <f t="shared" si="7"/>
        <v>61.300000000000011</v>
      </c>
      <c r="AA191" s="9">
        <f t="shared" si="8"/>
        <v>0.13622222222222224</v>
      </c>
    </row>
    <row r="192" spans="1:27" x14ac:dyDescent="0.25">
      <c r="A192" s="3">
        <v>44322</v>
      </c>
      <c r="B192" t="s">
        <v>31</v>
      </c>
      <c r="C192" t="s">
        <v>48</v>
      </c>
      <c r="D192" t="s">
        <v>188</v>
      </c>
      <c r="E192">
        <v>25110</v>
      </c>
      <c r="F192">
        <f>40+186+124+40+971+426+38</f>
        <v>1825</v>
      </c>
      <c r="G192">
        <f>1475+108+587+900</f>
        <v>3070</v>
      </c>
      <c r="H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Y192">
        <f t="shared" si="6"/>
        <v>11606.1</v>
      </c>
      <c r="Z192">
        <f t="shared" si="7"/>
        <v>13503.9</v>
      </c>
      <c r="AA192" s="9">
        <f t="shared" si="8"/>
        <v>0.53778972520908008</v>
      </c>
    </row>
    <row r="193" spans="1:27" x14ac:dyDescent="0.25">
      <c r="A193" s="3">
        <v>44383</v>
      </c>
      <c r="B193" t="s">
        <v>30</v>
      </c>
      <c r="C193" t="s">
        <v>34</v>
      </c>
      <c r="D193" t="s">
        <v>60</v>
      </c>
      <c r="E193">
        <v>4930</v>
      </c>
      <c r="F193">
        <f>35+40+409</f>
        <v>484</v>
      </c>
      <c r="G193">
        <v>1260</v>
      </c>
      <c r="I193">
        <v>1</v>
      </c>
      <c r="J193">
        <v>1</v>
      </c>
      <c r="P193">
        <v>1</v>
      </c>
      <c r="R193">
        <v>1</v>
      </c>
      <c r="Y193">
        <f t="shared" si="6"/>
        <v>3074.2</v>
      </c>
      <c r="Z193">
        <f t="shared" si="7"/>
        <v>1855.8000000000002</v>
      </c>
      <c r="AA193" s="9">
        <f t="shared" si="8"/>
        <v>0.37643002028397571</v>
      </c>
    </row>
    <row r="194" spans="1:27" x14ac:dyDescent="0.25">
      <c r="A194" s="3">
        <v>44389</v>
      </c>
      <c r="B194" t="s">
        <v>30</v>
      </c>
      <c r="C194" t="s">
        <v>47</v>
      </c>
      <c r="D194" t="s">
        <v>169</v>
      </c>
      <c r="E194">
        <v>5180</v>
      </c>
      <c r="F194">
        <f>80+556</f>
        <v>636</v>
      </c>
      <c r="G194">
        <v>480</v>
      </c>
      <c r="I194">
        <v>1</v>
      </c>
      <c r="J194">
        <v>1</v>
      </c>
      <c r="L194">
        <v>1</v>
      </c>
      <c r="P194">
        <v>1</v>
      </c>
      <c r="R194">
        <v>1</v>
      </c>
      <c r="S194">
        <v>1</v>
      </c>
      <c r="Y194">
        <f t="shared" ref="Y194:Y257" si="9">G194+F194*1.1+E194*0.26</f>
        <v>2526.3999999999996</v>
      </c>
      <c r="Z194">
        <f t="shared" ref="Z194:Z257" si="10">E194-Y194</f>
        <v>2653.6000000000004</v>
      </c>
      <c r="AA194" s="9">
        <f t="shared" ref="AA194:AA257" si="11">Z194/E194</f>
        <v>0.51227799227799231</v>
      </c>
    </row>
    <row r="195" spans="1:27" x14ac:dyDescent="0.25">
      <c r="A195" s="3">
        <v>44377</v>
      </c>
      <c r="B195" t="s">
        <v>31</v>
      </c>
      <c r="C195" t="s">
        <v>34</v>
      </c>
      <c r="D195" t="s">
        <v>256</v>
      </c>
      <c r="E195">
        <v>3495</v>
      </c>
      <c r="F195">
        <v>316</v>
      </c>
      <c r="G195">
        <f>613+1300</f>
        <v>1913</v>
      </c>
      <c r="I195">
        <v>1</v>
      </c>
      <c r="M195">
        <v>1</v>
      </c>
      <c r="R195">
        <v>1</v>
      </c>
      <c r="S195">
        <v>1</v>
      </c>
      <c r="Y195">
        <f t="shared" si="9"/>
        <v>3169.3</v>
      </c>
      <c r="Z195">
        <f t="shared" si="10"/>
        <v>325.69999999999982</v>
      </c>
      <c r="AA195" s="9">
        <f t="shared" si="11"/>
        <v>9.3190271816881207E-2</v>
      </c>
    </row>
    <row r="196" spans="1:27" x14ac:dyDescent="0.25">
      <c r="A196" s="3">
        <v>44383</v>
      </c>
      <c r="B196" t="s">
        <v>31</v>
      </c>
      <c r="C196" t="s">
        <v>20</v>
      </c>
      <c r="D196" t="s">
        <v>248</v>
      </c>
      <c r="E196">
        <v>1985</v>
      </c>
      <c r="F196">
        <f>201+20</f>
        <v>221</v>
      </c>
      <c r="G196">
        <v>1035</v>
      </c>
      <c r="I196">
        <v>1</v>
      </c>
      <c r="L196">
        <v>1</v>
      </c>
      <c r="M196">
        <v>1</v>
      </c>
      <c r="O196">
        <v>1</v>
      </c>
      <c r="R196">
        <v>1</v>
      </c>
      <c r="S196">
        <v>1</v>
      </c>
      <c r="Y196">
        <f t="shared" si="9"/>
        <v>1794.1999999999998</v>
      </c>
      <c r="Z196">
        <f t="shared" si="10"/>
        <v>190.80000000000018</v>
      </c>
      <c r="AA196" s="9">
        <f t="shared" si="11"/>
        <v>9.6120906801007655E-2</v>
      </c>
    </row>
    <row r="197" spans="1:27" x14ac:dyDescent="0.25">
      <c r="A197" s="3">
        <v>44284</v>
      </c>
      <c r="B197" t="s">
        <v>31</v>
      </c>
      <c r="C197"/>
      <c r="D197" t="s">
        <v>124</v>
      </c>
      <c r="E197">
        <v>8797</v>
      </c>
      <c r="F197">
        <f>330+434+23+168+66+66+332</f>
        <v>1419</v>
      </c>
      <c r="G197">
        <f>1154+100+740+385</f>
        <v>2379</v>
      </c>
      <c r="H197">
        <v>1</v>
      </c>
      <c r="Q197">
        <v>1</v>
      </c>
      <c r="R197">
        <v>1</v>
      </c>
      <c r="S197">
        <v>1</v>
      </c>
      <c r="T197">
        <v>1</v>
      </c>
      <c r="Y197">
        <f t="shared" si="9"/>
        <v>6227.1200000000008</v>
      </c>
      <c r="Z197">
        <f t="shared" si="10"/>
        <v>2569.8799999999992</v>
      </c>
      <c r="AA197" s="9">
        <f t="shared" si="11"/>
        <v>0.29213140843469354</v>
      </c>
    </row>
    <row r="198" spans="1:27" x14ac:dyDescent="0.25">
      <c r="A198" s="3">
        <v>44358</v>
      </c>
      <c r="B198" t="s">
        <v>31</v>
      </c>
      <c r="D198" t="s">
        <v>259</v>
      </c>
      <c r="E198">
        <v>300</v>
      </c>
      <c r="F198">
        <v>62</v>
      </c>
      <c r="H198">
        <v>1</v>
      </c>
      <c r="Y198">
        <f t="shared" si="9"/>
        <v>146.19999999999999</v>
      </c>
      <c r="Z198">
        <f t="shared" si="10"/>
        <v>153.80000000000001</v>
      </c>
      <c r="AA198" s="9">
        <f t="shared" si="11"/>
        <v>0.51266666666666671</v>
      </c>
    </row>
    <row r="199" spans="1:27" x14ac:dyDescent="0.25">
      <c r="A199" s="3">
        <v>44404</v>
      </c>
      <c r="B199" t="s">
        <v>31</v>
      </c>
      <c r="C199"/>
      <c r="D199" t="s">
        <v>191</v>
      </c>
      <c r="E199">
        <v>302</v>
      </c>
      <c r="F199">
        <f>68+174+120</f>
        <v>362</v>
      </c>
      <c r="G199">
        <v>354</v>
      </c>
      <c r="R199">
        <v>1</v>
      </c>
      <c r="Y199">
        <f t="shared" si="9"/>
        <v>830.72</v>
      </c>
      <c r="Z199">
        <f t="shared" si="10"/>
        <v>-528.72</v>
      </c>
      <c r="AA199" s="9">
        <f t="shared" si="11"/>
        <v>-1.7507284768211921</v>
      </c>
    </row>
    <row r="200" spans="1:27" x14ac:dyDescent="0.25">
      <c r="A200" s="3">
        <v>44404</v>
      </c>
      <c r="B200" t="s">
        <v>31</v>
      </c>
      <c r="C200" t="s">
        <v>20</v>
      </c>
      <c r="D200" t="s">
        <v>236</v>
      </c>
      <c r="E200">
        <v>2411</v>
      </c>
      <c r="F200">
        <f>358+68+34+35</f>
        <v>495</v>
      </c>
      <c r="G200">
        <v>1337</v>
      </c>
      <c r="L200">
        <v>1</v>
      </c>
      <c r="P200">
        <v>1</v>
      </c>
      <c r="Q200">
        <v>1</v>
      </c>
      <c r="Y200">
        <f t="shared" si="9"/>
        <v>2508.36</v>
      </c>
      <c r="Z200">
        <f t="shared" si="10"/>
        <v>-97.360000000000127</v>
      </c>
      <c r="AA200" s="9">
        <f t="shared" si="11"/>
        <v>-4.0381584404811335E-2</v>
      </c>
    </row>
    <row r="201" spans="1:27" x14ac:dyDescent="0.25">
      <c r="A201" s="3">
        <v>44392</v>
      </c>
      <c r="B201" t="s">
        <v>31</v>
      </c>
      <c r="C201"/>
      <c r="D201" t="s">
        <v>107</v>
      </c>
      <c r="E201">
        <v>1205</v>
      </c>
      <c r="F201">
        <f>199+102</f>
        <v>301</v>
      </c>
      <c r="G201">
        <f>420+365</f>
        <v>785</v>
      </c>
      <c r="Q201">
        <v>1</v>
      </c>
      <c r="S201">
        <v>1</v>
      </c>
      <c r="W201">
        <v>1</v>
      </c>
      <c r="Y201">
        <f t="shared" si="9"/>
        <v>1429.3999999999999</v>
      </c>
      <c r="Z201">
        <f t="shared" si="10"/>
        <v>-224.39999999999986</v>
      </c>
      <c r="AA201" s="9">
        <f t="shared" si="11"/>
        <v>-0.18622406639004138</v>
      </c>
    </row>
    <row r="202" spans="1:27" x14ac:dyDescent="0.25">
      <c r="A202" s="3">
        <v>44389</v>
      </c>
      <c r="B202" t="s">
        <v>31</v>
      </c>
      <c r="C202" t="s">
        <v>47</v>
      </c>
      <c r="D202" t="s">
        <v>169</v>
      </c>
      <c r="E202">
        <v>5180</v>
      </c>
      <c r="F202">
        <f>80+556</f>
        <v>636</v>
      </c>
      <c r="G202">
        <v>2135</v>
      </c>
      <c r="I202">
        <v>1</v>
      </c>
      <c r="J202">
        <v>1</v>
      </c>
      <c r="L202">
        <v>1</v>
      </c>
      <c r="P202">
        <v>1</v>
      </c>
      <c r="S202">
        <v>1</v>
      </c>
      <c r="Y202">
        <f t="shared" si="9"/>
        <v>4181.3999999999996</v>
      </c>
      <c r="Z202">
        <f t="shared" si="10"/>
        <v>998.60000000000036</v>
      </c>
      <c r="AA202" s="9">
        <f t="shared" si="11"/>
        <v>0.19277992277992284</v>
      </c>
    </row>
    <row r="203" spans="1:27" x14ac:dyDescent="0.25">
      <c r="A203" s="3">
        <v>44403</v>
      </c>
      <c r="B203" t="s">
        <v>31</v>
      </c>
      <c r="C203" t="s">
        <v>47</v>
      </c>
      <c r="D203" t="s">
        <v>251</v>
      </c>
      <c r="E203">
        <v>1750</v>
      </c>
      <c r="F203">
        <v>120</v>
      </c>
      <c r="G203">
        <v>335</v>
      </c>
      <c r="V203">
        <v>1</v>
      </c>
      <c r="Y203">
        <f t="shared" si="9"/>
        <v>922</v>
      </c>
      <c r="Z203">
        <f t="shared" si="10"/>
        <v>828</v>
      </c>
      <c r="AA203" s="9">
        <f t="shared" si="11"/>
        <v>0.47314285714285714</v>
      </c>
    </row>
    <row r="204" spans="1:27" x14ac:dyDescent="0.25">
      <c r="A204" s="3">
        <v>44396</v>
      </c>
      <c r="B204" t="s">
        <v>30</v>
      </c>
      <c r="C204" t="s">
        <v>47</v>
      </c>
      <c r="D204" t="s">
        <v>253</v>
      </c>
      <c r="E204">
        <v>10350</v>
      </c>
      <c r="F204">
        <f>734+87+159+99</f>
        <v>1079</v>
      </c>
      <c r="G204">
        <f>665+2175</f>
        <v>2840</v>
      </c>
      <c r="H204">
        <v>1</v>
      </c>
      <c r="L204">
        <v>1</v>
      </c>
      <c r="Q204">
        <v>1</v>
      </c>
      <c r="R204">
        <v>1</v>
      </c>
      <c r="S204">
        <v>1</v>
      </c>
      <c r="T204">
        <v>1</v>
      </c>
      <c r="Y204">
        <f t="shared" si="9"/>
        <v>6717.9</v>
      </c>
      <c r="Z204">
        <f t="shared" si="10"/>
        <v>3632.1000000000004</v>
      </c>
      <c r="AA204" s="9">
        <f t="shared" si="11"/>
        <v>0.35092753623188411</v>
      </c>
    </row>
    <row r="205" spans="1:27" x14ac:dyDescent="0.25">
      <c r="A205" s="3">
        <v>44384</v>
      </c>
      <c r="B205" t="s">
        <v>31</v>
      </c>
      <c r="C205"/>
      <c r="D205" t="s">
        <v>53</v>
      </c>
      <c r="E205">
        <v>2700</v>
      </c>
      <c r="F205">
        <f>57+194+40+110+197+80+83+40+80+3+121</f>
        <v>1005</v>
      </c>
      <c r="G205">
        <f>340+532</f>
        <v>872</v>
      </c>
      <c r="H205">
        <v>1</v>
      </c>
      <c r="Q205">
        <v>1</v>
      </c>
      <c r="R205">
        <v>1</v>
      </c>
      <c r="Y205">
        <f t="shared" si="9"/>
        <v>2679.5</v>
      </c>
      <c r="Z205">
        <f t="shared" si="10"/>
        <v>20.5</v>
      </c>
      <c r="AA205" s="9">
        <f t="shared" si="11"/>
        <v>7.5925925925925926E-3</v>
      </c>
    </row>
    <row r="206" spans="1:27" x14ac:dyDescent="0.25">
      <c r="A206" s="3">
        <v>44407</v>
      </c>
      <c r="B206" t="s">
        <v>102</v>
      </c>
      <c r="C206"/>
      <c r="D206" t="s">
        <v>260</v>
      </c>
      <c r="E206">
        <v>300</v>
      </c>
      <c r="F206">
        <v>68</v>
      </c>
      <c r="G206">
        <v>185</v>
      </c>
      <c r="H206">
        <v>1</v>
      </c>
      <c r="Q206">
        <v>1</v>
      </c>
      <c r="Y206">
        <f t="shared" si="9"/>
        <v>337.8</v>
      </c>
      <c r="Z206">
        <f t="shared" si="10"/>
        <v>-37.800000000000011</v>
      </c>
      <c r="AA206" s="9">
        <f t="shared" si="11"/>
        <v>-0.12600000000000003</v>
      </c>
    </row>
    <row r="207" spans="1:27" x14ac:dyDescent="0.25">
      <c r="A207" s="3">
        <v>44386</v>
      </c>
      <c r="B207" t="s">
        <v>30</v>
      </c>
      <c r="C207"/>
      <c r="D207" t="s">
        <v>60</v>
      </c>
      <c r="E207">
        <v>4070</v>
      </c>
      <c r="F207">
        <v>35</v>
      </c>
      <c r="H207">
        <v>1</v>
      </c>
      <c r="I207">
        <v>1</v>
      </c>
      <c r="J207">
        <v>1</v>
      </c>
      <c r="M207">
        <v>1</v>
      </c>
      <c r="P207">
        <v>1</v>
      </c>
      <c r="R207">
        <v>1</v>
      </c>
      <c r="S207">
        <v>1</v>
      </c>
      <c r="T207">
        <v>1</v>
      </c>
      <c r="Y207">
        <f t="shared" si="9"/>
        <v>1096.7</v>
      </c>
      <c r="Z207">
        <f t="shared" si="10"/>
        <v>2973.3</v>
      </c>
      <c r="AA207" s="9">
        <f t="shared" si="11"/>
        <v>0.73054054054054063</v>
      </c>
    </row>
    <row r="208" spans="1:27" x14ac:dyDescent="0.25">
      <c r="A208" s="3">
        <v>44386</v>
      </c>
      <c r="B208" t="s">
        <v>31</v>
      </c>
      <c r="C208" t="s">
        <v>48</v>
      </c>
      <c r="D208" t="s">
        <v>231</v>
      </c>
      <c r="E208">
        <v>13075</v>
      </c>
      <c r="F208">
        <f>1879+187+40+571+45+45</f>
        <v>2767</v>
      </c>
      <c r="G208">
        <f>850+3340+175+200</f>
        <v>4565</v>
      </c>
      <c r="L208">
        <v>1</v>
      </c>
      <c r="M208">
        <v>1</v>
      </c>
      <c r="O208">
        <v>1</v>
      </c>
      <c r="P208">
        <v>1</v>
      </c>
      <c r="S208">
        <v>1</v>
      </c>
      <c r="Y208">
        <f t="shared" si="9"/>
        <v>11008.2</v>
      </c>
      <c r="Z208">
        <f t="shared" si="10"/>
        <v>2066.7999999999993</v>
      </c>
      <c r="AA208" s="9">
        <f t="shared" si="11"/>
        <v>0.15807265774378579</v>
      </c>
    </row>
    <row r="209" spans="1:27" x14ac:dyDescent="0.25">
      <c r="A209" s="3">
        <v>44410</v>
      </c>
      <c r="B209" t="s">
        <v>30</v>
      </c>
      <c r="C209"/>
      <c r="D209" t="s">
        <v>269</v>
      </c>
      <c r="E209">
        <v>538</v>
      </c>
      <c r="F209">
        <v>68</v>
      </c>
      <c r="G209">
        <v>100</v>
      </c>
      <c r="H209">
        <v>1</v>
      </c>
      <c r="Q209">
        <v>1</v>
      </c>
      <c r="R209">
        <v>1</v>
      </c>
      <c r="Y209">
        <f t="shared" si="9"/>
        <v>314.68</v>
      </c>
      <c r="Z209">
        <f t="shared" si="10"/>
        <v>223.32</v>
      </c>
      <c r="AA209" s="9">
        <f t="shared" si="11"/>
        <v>0.41509293680297399</v>
      </c>
    </row>
    <row r="210" spans="1:27" x14ac:dyDescent="0.25">
      <c r="A210" s="3">
        <v>44410</v>
      </c>
      <c r="B210" t="s">
        <v>30</v>
      </c>
      <c r="C210"/>
      <c r="D210" t="s">
        <v>268</v>
      </c>
      <c r="E210">
        <v>366</v>
      </c>
      <c r="F210">
        <f>72</f>
        <v>72</v>
      </c>
      <c r="G210">
        <v>80</v>
      </c>
      <c r="H210">
        <v>1</v>
      </c>
      <c r="Q210">
        <v>1</v>
      </c>
      <c r="R210">
        <v>1</v>
      </c>
      <c r="Y210">
        <f t="shared" si="9"/>
        <v>254.35999999999999</v>
      </c>
      <c r="Z210">
        <f t="shared" si="10"/>
        <v>111.64000000000001</v>
      </c>
      <c r="AA210" s="9">
        <f t="shared" si="11"/>
        <v>0.30502732240437164</v>
      </c>
    </row>
    <row r="211" spans="1:27" x14ac:dyDescent="0.25">
      <c r="A211" s="3">
        <v>44410</v>
      </c>
      <c r="B211" t="s">
        <v>31</v>
      </c>
      <c r="C211"/>
      <c r="D211" t="s">
        <v>174</v>
      </c>
      <c r="E211">
        <v>1048</v>
      </c>
      <c r="F211">
        <f>97+20</f>
        <v>117</v>
      </c>
      <c r="G211">
        <v>370</v>
      </c>
      <c r="H211">
        <v>1</v>
      </c>
      <c r="Q211">
        <v>1</v>
      </c>
      <c r="T211">
        <v>1</v>
      </c>
      <c r="Y211">
        <f t="shared" si="9"/>
        <v>771.18000000000006</v>
      </c>
      <c r="Z211">
        <f t="shared" si="10"/>
        <v>276.81999999999994</v>
      </c>
      <c r="AA211" s="9">
        <f t="shared" si="11"/>
        <v>0.26414122137404572</v>
      </c>
    </row>
    <row r="212" spans="1:27" x14ac:dyDescent="0.25">
      <c r="A212" s="3">
        <v>44412</v>
      </c>
      <c r="B212" t="s">
        <v>31</v>
      </c>
      <c r="C212"/>
      <c r="D212" t="s">
        <v>264</v>
      </c>
      <c r="E212">
        <v>150</v>
      </c>
      <c r="F212">
        <v>40</v>
      </c>
      <c r="M212">
        <v>1</v>
      </c>
      <c r="Y212">
        <f t="shared" si="9"/>
        <v>83</v>
      </c>
      <c r="Z212">
        <f t="shared" si="10"/>
        <v>67</v>
      </c>
      <c r="AA212" s="9">
        <f t="shared" si="11"/>
        <v>0.44666666666666666</v>
      </c>
    </row>
    <row r="213" spans="1:27" x14ac:dyDescent="0.25">
      <c r="A213" s="3">
        <v>44410</v>
      </c>
      <c r="B213" t="s">
        <v>30</v>
      </c>
      <c r="C213"/>
      <c r="D213" t="s">
        <v>272</v>
      </c>
      <c r="E213">
        <v>3800</v>
      </c>
      <c r="F213">
        <v>202</v>
      </c>
      <c r="G213">
        <f>355+293</f>
        <v>648</v>
      </c>
      <c r="H213">
        <v>1</v>
      </c>
      <c r="T213">
        <v>1</v>
      </c>
      <c r="V213">
        <v>1</v>
      </c>
      <c r="Y213">
        <f t="shared" si="9"/>
        <v>1858.2</v>
      </c>
      <c r="Z213">
        <f t="shared" si="10"/>
        <v>1941.8</v>
      </c>
      <c r="AA213" s="9">
        <f t="shared" si="11"/>
        <v>0.51100000000000001</v>
      </c>
    </row>
    <row r="214" spans="1:27" x14ac:dyDescent="0.25">
      <c r="A214" s="3">
        <v>44414</v>
      </c>
      <c r="B214" t="s">
        <v>31</v>
      </c>
      <c r="C214" t="s">
        <v>48</v>
      </c>
      <c r="D214" t="s">
        <v>228</v>
      </c>
      <c r="E214">
        <v>950</v>
      </c>
      <c r="F214">
        <v>218</v>
      </c>
      <c r="G214">
        <f>155+130</f>
        <v>285</v>
      </c>
      <c r="H214">
        <v>1</v>
      </c>
      <c r="Q214">
        <v>1</v>
      </c>
      <c r="R214">
        <v>1</v>
      </c>
      <c r="T214">
        <v>1</v>
      </c>
      <c r="Y214">
        <f t="shared" si="9"/>
        <v>771.8</v>
      </c>
      <c r="Z214">
        <f t="shared" si="10"/>
        <v>178.20000000000005</v>
      </c>
      <c r="AA214" s="9">
        <f t="shared" si="11"/>
        <v>0.1875789473684211</v>
      </c>
    </row>
    <row r="215" spans="1:27" x14ac:dyDescent="0.25">
      <c r="A215" s="3">
        <v>44414</v>
      </c>
      <c r="B215" t="s">
        <v>31</v>
      </c>
      <c r="C215" t="s">
        <v>48</v>
      </c>
      <c r="D215" t="s">
        <v>215</v>
      </c>
      <c r="E215">
        <v>11800</v>
      </c>
      <c r="F215">
        <f>820+169+21+335+114</f>
        <v>1459</v>
      </c>
      <c r="G215">
        <f>200+775+975+1005+930</f>
        <v>3885</v>
      </c>
      <c r="H215">
        <v>1</v>
      </c>
      <c r="Q215">
        <v>1</v>
      </c>
      <c r="R215">
        <v>1</v>
      </c>
      <c r="S215">
        <v>1</v>
      </c>
      <c r="T215">
        <v>1</v>
      </c>
      <c r="Y215">
        <f t="shared" si="9"/>
        <v>8557.9</v>
      </c>
      <c r="Z215">
        <f t="shared" si="10"/>
        <v>3242.1000000000004</v>
      </c>
      <c r="AA215" s="9">
        <f t="shared" si="11"/>
        <v>0.27475423728813564</v>
      </c>
    </row>
    <row r="216" spans="1:27" x14ac:dyDescent="0.25">
      <c r="A216" s="3">
        <v>44410</v>
      </c>
      <c r="B216" t="s">
        <v>31</v>
      </c>
      <c r="C216" t="s">
        <v>47</v>
      </c>
      <c r="D216" t="s">
        <v>266</v>
      </c>
      <c r="E216">
        <v>4671</v>
      </c>
      <c r="F216">
        <f>837+94+282</f>
        <v>1213</v>
      </c>
      <c r="G216">
        <f>300+1375</f>
        <v>1675</v>
      </c>
      <c r="H216">
        <v>1</v>
      </c>
      <c r="Q216">
        <v>1</v>
      </c>
      <c r="R216">
        <v>1</v>
      </c>
      <c r="Y216">
        <f t="shared" si="9"/>
        <v>4223.76</v>
      </c>
      <c r="Z216">
        <f t="shared" si="10"/>
        <v>447.23999999999978</v>
      </c>
      <c r="AA216" s="9">
        <f t="shared" si="11"/>
        <v>9.5748233782915818E-2</v>
      </c>
    </row>
    <row r="217" spans="1:27" x14ac:dyDescent="0.25">
      <c r="A217" s="3">
        <v>44406</v>
      </c>
      <c r="B217" t="s">
        <v>31</v>
      </c>
      <c r="C217"/>
      <c r="D217" t="s">
        <v>262</v>
      </c>
      <c r="E217">
        <v>1425</v>
      </c>
      <c r="F217">
        <f>89+95</f>
        <v>184</v>
      </c>
      <c r="L217">
        <v>1</v>
      </c>
      <c r="P217">
        <v>1</v>
      </c>
      <c r="S217">
        <v>1</v>
      </c>
      <c r="Y217">
        <f t="shared" si="9"/>
        <v>572.9</v>
      </c>
      <c r="Z217">
        <f t="shared" si="10"/>
        <v>852.1</v>
      </c>
      <c r="AA217" s="9">
        <f t="shared" si="11"/>
        <v>0.59796491228070181</v>
      </c>
    </row>
    <row r="218" spans="1:27" x14ac:dyDescent="0.25">
      <c r="A218" s="3">
        <v>44411</v>
      </c>
      <c r="B218" t="s">
        <v>31</v>
      </c>
      <c r="D218" t="s">
        <v>273</v>
      </c>
      <c r="E218">
        <v>5480</v>
      </c>
      <c r="F218">
        <v>960</v>
      </c>
      <c r="G218">
        <v>550</v>
      </c>
      <c r="K218">
        <v>1</v>
      </c>
      <c r="Y218">
        <f t="shared" si="9"/>
        <v>3030.8</v>
      </c>
      <c r="Z218">
        <f t="shared" si="10"/>
        <v>2449.1999999999998</v>
      </c>
      <c r="AA218" s="9">
        <f t="shared" si="11"/>
        <v>0.44693430656934302</v>
      </c>
    </row>
    <row r="219" spans="1:27" x14ac:dyDescent="0.25">
      <c r="A219" s="3">
        <v>44414</v>
      </c>
      <c r="B219" t="s">
        <v>30</v>
      </c>
      <c r="C219"/>
      <c r="D219" t="s">
        <v>52</v>
      </c>
      <c r="E219">
        <v>1200</v>
      </c>
      <c r="F219">
        <v>158</v>
      </c>
      <c r="G219">
        <v>511</v>
      </c>
      <c r="H219">
        <v>1</v>
      </c>
      <c r="Q219">
        <v>1</v>
      </c>
      <c r="S219">
        <v>1</v>
      </c>
      <c r="T219">
        <v>1</v>
      </c>
      <c r="V219">
        <v>1</v>
      </c>
      <c r="Y219">
        <f t="shared" si="9"/>
        <v>996.8</v>
      </c>
      <c r="Z219">
        <f t="shared" si="10"/>
        <v>203.20000000000005</v>
      </c>
      <c r="AA219" s="9">
        <f t="shared" si="11"/>
        <v>0.16933333333333336</v>
      </c>
    </row>
    <row r="220" spans="1:27" x14ac:dyDescent="0.25">
      <c r="A220" s="3">
        <v>44417</v>
      </c>
      <c r="B220" t="s">
        <v>31</v>
      </c>
      <c r="C220"/>
      <c r="D220" t="s">
        <v>271</v>
      </c>
      <c r="E220">
        <v>2730</v>
      </c>
      <c r="F220">
        <v>303</v>
      </c>
      <c r="G220">
        <v>350</v>
      </c>
      <c r="H220">
        <v>1</v>
      </c>
      <c r="Q220">
        <v>1</v>
      </c>
      <c r="S220">
        <v>1</v>
      </c>
      <c r="T220">
        <v>1</v>
      </c>
      <c r="Y220">
        <f t="shared" si="9"/>
        <v>1393.1</v>
      </c>
      <c r="Z220">
        <f t="shared" si="10"/>
        <v>1336.9</v>
      </c>
      <c r="AA220" s="9">
        <f t="shared" si="11"/>
        <v>0.48970695970695977</v>
      </c>
    </row>
    <row r="221" spans="1:27" x14ac:dyDescent="0.25">
      <c r="A221" s="3">
        <v>44417</v>
      </c>
      <c r="B221" t="s">
        <v>31</v>
      </c>
      <c r="C221" t="s">
        <v>34</v>
      </c>
      <c r="D221" t="s">
        <v>250</v>
      </c>
      <c r="E221">
        <v>9115</v>
      </c>
      <c r="F221">
        <f>640+359+467+199+83</f>
        <v>1748</v>
      </c>
      <c r="G221">
        <f>760+2975+2280+150</f>
        <v>6165</v>
      </c>
      <c r="K221">
        <v>1</v>
      </c>
      <c r="Y221">
        <f t="shared" si="9"/>
        <v>10457.700000000001</v>
      </c>
      <c r="Z221">
        <f t="shared" si="10"/>
        <v>-1342.7000000000007</v>
      </c>
      <c r="AA221" s="9">
        <f t="shared" si="11"/>
        <v>-0.14730663741086131</v>
      </c>
    </row>
    <row r="222" spans="1:27" x14ac:dyDescent="0.25">
      <c r="A222" s="3">
        <v>44413</v>
      </c>
      <c r="B222" t="s">
        <v>31</v>
      </c>
      <c r="C222"/>
      <c r="D222" t="s">
        <v>278</v>
      </c>
      <c r="E222">
        <v>714</v>
      </c>
      <c r="Q222">
        <v>1</v>
      </c>
      <c r="Y222">
        <f t="shared" si="9"/>
        <v>185.64000000000001</v>
      </c>
      <c r="Z222">
        <f t="shared" si="10"/>
        <v>528.36</v>
      </c>
      <c r="AA222" s="9">
        <f t="shared" si="11"/>
        <v>0.74</v>
      </c>
    </row>
    <row r="223" spans="1:27" x14ac:dyDescent="0.25">
      <c r="A223" s="3">
        <v>44405</v>
      </c>
      <c r="B223" t="s">
        <v>31</v>
      </c>
      <c r="C223"/>
      <c r="D223" t="s">
        <v>263</v>
      </c>
      <c r="E223">
        <v>4900</v>
      </c>
      <c r="F223">
        <f>115+231</f>
        <v>346</v>
      </c>
      <c r="G223">
        <v>680</v>
      </c>
      <c r="P223">
        <v>1</v>
      </c>
      <c r="Y223">
        <f t="shared" si="9"/>
        <v>2334.6</v>
      </c>
      <c r="Z223">
        <f t="shared" si="10"/>
        <v>2565.4</v>
      </c>
      <c r="AA223" s="9">
        <f t="shared" si="11"/>
        <v>0.52355102040816326</v>
      </c>
    </row>
    <row r="224" spans="1:27" x14ac:dyDescent="0.25">
      <c r="A224" s="3">
        <v>44424</v>
      </c>
      <c r="B224" t="s">
        <v>31</v>
      </c>
      <c r="C224" t="s">
        <v>34</v>
      </c>
      <c r="D224" t="s">
        <v>275</v>
      </c>
      <c r="E224">
        <v>1582</v>
      </c>
      <c r="F224">
        <f>189+54</f>
        <v>243</v>
      </c>
      <c r="G224">
        <v>235</v>
      </c>
      <c r="H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Y224">
        <f t="shared" si="9"/>
        <v>913.62</v>
      </c>
      <c r="Z224">
        <f t="shared" si="10"/>
        <v>668.38</v>
      </c>
      <c r="AA224" s="9">
        <f t="shared" si="11"/>
        <v>0.42249051833122631</v>
      </c>
    </row>
    <row r="225" spans="1:27" x14ac:dyDescent="0.25">
      <c r="A225" s="3">
        <v>44424</v>
      </c>
      <c r="B225" t="s">
        <v>31</v>
      </c>
      <c r="C225" t="s">
        <v>47</v>
      </c>
      <c r="D225" t="s">
        <v>280</v>
      </c>
      <c r="E225">
        <v>3750</v>
      </c>
      <c r="F225">
        <v>212</v>
      </c>
      <c r="G225">
        <v>630</v>
      </c>
      <c r="V225">
        <v>1</v>
      </c>
      <c r="Y225">
        <f t="shared" si="9"/>
        <v>1838.2</v>
      </c>
      <c r="Z225">
        <f t="shared" si="10"/>
        <v>1911.8</v>
      </c>
      <c r="AA225" s="9">
        <f t="shared" si="11"/>
        <v>0.50981333333333334</v>
      </c>
    </row>
    <row r="226" spans="1:27" x14ac:dyDescent="0.25">
      <c r="A226" s="3">
        <v>44426</v>
      </c>
      <c r="B226" t="s">
        <v>31</v>
      </c>
      <c r="C226" t="s">
        <v>47</v>
      </c>
      <c r="D226" t="s">
        <v>276</v>
      </c>
      <c r="E226">
        <v>2150</v>
      </c>
      <c r="F226">
        <f>467+43</f>
        <v>510</v>
      </c>
      <c r="G226">
        <v>1040</v>
      </c>
      <c r="I226">
        <v>1</v>
      </c>
      <c r="J226">
        <v>1</v>
      </c>
      <c r="L226">
        <v>1</v>
      </c>
      <c r="S226">
        <v>1</v>
      </c>
      <c r="Y226">
        <f t="shared" si="9"/>
        <v>2160</v>
      </c>
      <c r="Z226">
        <f t="shared" si="10"/>
        <v>-10</v>
      </c>
      <c r="AA226" s="9">
        <f t="shared" si="11"/>
        <v>-4.6511627906976744E-3</v>
      </c>
    </row>
    <row r="227" spans="1:27" x14ac:dyDescent="0.25">
      <c r="A227" s="3">
        <v>44417</v>
      </c>
      <c r="B227" t="s">
        <v>31</v>
      </c>
      <c r="C227" t="s">
        <v>48</v>
      </c>
      <c r="D227" t="s">
        <v>270</v>
      </c>
      <c r="E227">
        <f>1130+7476</f>
        <v>8606</v>
      </c>
      <c r="F227">
        <f>1109+43</f>
        <v>1152</v>
      </c>
      <c r="G227">
        <v>600</v>
      </c>
      <c r="H227">
        <v>1</v>
      </c>
      <c r="Q227">
        <v>1</v>
      </c>
      <c r="R227">
        <v>1</v>
      </c>
      <c r="S227">
        <v>1</v>
      </c>
      <c r="T227">
        <v>1</v>
      </c>
      <c r="Y227">
        <f t="shared" si="9"/>
        <v>4104.76</v>
      </c>
      <c r="Z227">
        <f t="shared" si="10"/>
        <v>4501.24</v>
      </c>
      <c r="AA227" s="9">
        <f t="shared" si="11"/>
        <v>0.52303509179642105</v>
      </c>
    </row>
    <row r="228" spans="1:27" x14ac:dyDescent="0.25">
      <c r="A228" s="3">
        <v>44424</v>
      </c>
      <c r="B228" t="s">
        <v>30</v>
      </c>
      <c r="C228" t="s">
        <v>48</v>
      </c>
      <c r="D228" t="s">
        <v>279</v>
      </c>
      <c r="E228">
        <v>10475</v>
      </c>
      <c r="F228">
        <f>1677+45+45</f>
        <v>1767</v>
      </c>
      <c r="G228">
        <v>1975</v>
      </c>
      <c r="K228">
        <v>1</v>
      </c>
      <c r="L228">
        <v>1</v>
      </c>
      <c r="M228">
        <v>1</v>
      </c>
      <c r="O228">
        <v>1</v>
      </c>
      <c r="P228">
        <v>1</v>
      </c>
      <c r="Y228">
        <f t="shared" si="9"/>
        <v>6642.2</v>
      </c>
      <c r="Z228">
        <f t="shared" si="10"/>
        <v>3832.8</v>
      </c>
      <c r="AA228" s="9">
        <f t="shared" si="11"/>
        <v>0.36589976133651553</v>
      </c>
    </row>
    <row r="229" spans="1:27" x14ac:dyDescent="0.25">
      <c r="A229" s="3">
        <v>44431</v>
      </c>
      <c r="B229" t="s">
        <v>31</v>
      </c>
      <c r="C229" s="12" t="s">
        <v>20</v>
      </c>
      <c r="D229" t="s">
        <v>286</v>
      </c>
      <c r="E229">
        <v>450</v>
      </c>
      <c r="F229">
        <v>0</v>
      </c>
      <c r="G229">
        <v>211</v>
      </c>
      <c r="H229">
        <v>1</v>
      </c>
      <c r="Q229">
        <v>1</v>
      </c>
      <c r="Y229">
        <f t="shared" si="9"/>
        <v>328</v>
      </c>
      <c r="Z229">
        <f t="shared" si="10"/>
        <v>122</v>
      </c>
      <c r="AA229" s="9">
        <f t="shared" si="11"/>
        <v>0.27111111111111114</v>
      </c>
    </row>
    <row r="230" spans="1:27" x14ac:dyDescent="0.25">
      <c r="A230" s="3">
        <v>44427</v>
      </c>
      <c r="B230" t="s">
        <v>31</v>
      </c>
      <c r="C230" s="12" t="s">
        <v>20</v>
      </c>
      <c r="D230" t="s">
        <v>287</v>
      </c>
      <c r="E230">
        <v>150</v>
      </c>
      <c r="F230">
        <v>50</v>
      </c>
      <c r="G230">
        <v>160</v>
      </c>
      <c r="P230">
        <v>1</v>
      </c>
      <c r="Y230">
        <f t="shared" si="9"/>
        <v>254</v>
      </c>
      <c r="Z230">
        <f t="shared" si="10"/>
        <v>-104</v>
      </c>
      <c r="AA230" s="9">
        <f t="shared" si="11"/>
        <v>-0.69333333333333336</v>
      </c>
    </row>
    <row r="231" spans="1:27" x14ac:dyDescent="0.25">
      <c r="A231" s="3">
        <v>44428</v>
      </c>
      <c r="B231" t="s">
        <v>102</v>
      </c>
      <c r="C231" s="12" t="s">
        <v>48</v>
      </c>
      <c r="D231" t="s">
        <v>288</v>
      </c>
      <c r="E231">
        <v>1473</v>
      </c>
      <c r="F231">
        <v>150</v>
      </c>
      <c r="G231">
        <v>435</v>
      </c>
      <c r="H231">
        <v>1</v>
      </c>
      <c r="R231">
        <v>1</v>
      </c>
      <c r="S231">
        <v>1</v>
      </c>
      <c r="Y231">
        <f t="shared" si="9"/>
        <v>982.98</v>
      </c>
      <c r="Z231">
        <f t="shared" si="10"/>
        <v>490.02</v>
      </c>
      <c r="AA231" s="9">
        <f t="shared" si="11"/>
        <v>0.3326680244399185</v>
      </c>
    </row>
    <row r="232" spans="1:27" x14ac:dyDescent="0.25">
      <c r="A232" s="3">
        <v>44431</v>
      </c>
      <c r="B232" t="s">
        <v>31</v>
      </c>
      <c r="C232" t="s">
        <v>48</v>
      </c>
      <c r="D232" t="s">
        <v>283</v>
      </c>
      <c r="E232">
        <v>1700</v>
      </c>
      <c r="F232">
        <v>129</v>
      </c>
      <c r="G232">
        <v>355</v>
      </c>
      <c r="I232">
        <v>1</v>
      </c>
      <c r="Y232">
        <f t="shared" si="9"/>
        <v>938.9</v>
      </c>
      <c r="Z232">
        <f t="shared" si="10"/>
        <v>761.1</v>
      </c>
      <c r="AA232" s="9">
        <f t="shared" si="11"/>
        <v>0.44770588235294118</v>
      </c>
    </row>
    <row r="233" spans="1:27" x14ac:dyDescent="0.25">
      <c r="A233" s="3">
        <v>44407</v>
      </c>
      <c r="B233" t="s">
        <v>31</v>
      </c>
      <c r="C233"/>
      <c r="D233" t="s">
        <v>265</v>
      </c>
      <c r="E233">
        <v>1170</v>
      </c>
      <c r="F233">
        <v>219</v>
      </c>
      <c r="G233">
        <v>495</v>
      </c>
      <c r="H233">
        <v>1</v>
      </c>
      <c r="Q233">
        <v>1</v>
      </c>
      <c r="S233">
        <v>1</v>
      </c>
      <c r="T233">
        <v>1</v>
      </c>
      <c r="Y233">
        <f t="shared" si="9"/>
        <v>1040.0999999999999</v>
      </c>
      <c r="Z233">
        <f t="shared" si="10"/>
        <v>129.90000000000009</v>
      </c>
      <c r="AA233" s="9">
        <f t="shared" si="11"/>
        <v>0.11102564102564111</v>
      </c>
    </row>
    <row r="234" spans="1:27" x14ac:dyDescent="0.25">
      <c r="A234" s="3">
        <v>44419</v>
      </c>
      <c r="B234" t="s">
        <v>30</v>
      </c>
      <c r="C234"/>
      <c r="D234" t="s">
        <v>277</v>
      </c>
      <c r="E234">
        <v>3200</v>
      </c>
      <c r="F234">
        <f>371+47+141</f>
        <v>559</v>
      </c>
      <c r="P234">
        <v>1</v>
      </c>
      <c r="Y234">
        <f t="shared" si="9"/>
        <v>1446.9</v>
      </c>
      <c r="Z234">
        <f t="shared" si="10"/>
        <v>1753.1</v>
      </c>
      <c r="AA234" s="9">
        <f t="shared" si="11"/>
        <v>0.54784374999999996</v>
      </c>
    </row>
    <row r="235" spans="1:27" x14ac:dyDescent="0.25">
      <c r="A235" s="3">
        <v>44417</v>
      </c>
      <c r="B235" t="s">
        <v>31</v>
      </c>
      <c r="C235"/>
      <c r="D235" t="s">
        <v>261</v>
      </c>
      <c r="E235">
        <v>4750</v>
      </c>
      <c r="F235">
        <v>750</v>
      </c>
      <c r="G235">
        <v>355</v>
      </c>
      <c r="K235">
        <v>1</v>
      </c>
      <c r="M235">
        <v>1</v>
      </c>
      <c r="S235">
        <v>1</v>
      </c>
      <c r="Y235">
        <f t="shared" si="9"/>
        <v>2415</v>
      </c>
      <c r="Z235">
        <f t="shared" si="10"/>
        <v>2335</v>
      </c>
      <c r="AA235" s="9">
        <f t="shared" si="11"/>
        <v>0.49157894736842106</v>
      </c>
    </row>
    <row r="236" spans="1:27" x14ac:dyDescent="0.25">
      <c r="A236" t="s">
        <v>290</v>
      </c>
      <c r="B236" t="s">
        <v>31</v>
      </c>
      <c r="C236" t="s">
        <v>47</v>
      </c>
      <c r="D236" t="s">
        <v>255</v>
      </c>
      <c r="E236">
        <v>5000</v>
      </c>
      <c r="F236">
        <v>176</v>
      </c>
      <c r="G236">
        <f>855</f>
        <v>855</v>
      </c>
      <c r="Y236">
        <f t="shared" si="9"/>
        <v>2348.6</v>
      </c>
      <c r="Z236">
        <f t="shared" si="10"/>
        <v>2651.4</v>
      </c>
      <c r="AA236" s="9">
        <f t="shared" si="11"/>
        <v>0.53027999999999997</v>
      </c>
    </row>
    <row r="237" spans="1:27" x14ac:dyDescent="0.25">
      <c r="A237" s="3">
        <v>44428</v>
      </c>
      <c r="B237" t="s">
        <v>30</v>
      </c>
      <c r="C237" t="s">
        <v>20</v>
      </c>
      <c r="D237" t="s">
        <v>281</v>
      </c>
      <c r="E237">
        <v>950</v>
      </c>
      <c r="F237">
        <f>165+45</f>
        <v>210</v>
      </c>
      <c r="G237">
        <v>331</v>
      </c>
      <c r="H237">
        <v>1</v>
      </c>
      <c r="P237">
        <v>1</v>
      </c>
      <c r="Q237">
        <v>1</v>
      </c>
      <c r="Y237">
        <f t="shared" si="9"/>
        <v>809</v>
      </c>
      <c r="Z237">
        <f t="shared" si="10"/>
        <v>141</v>
      </c>
      <c r="AA237" s="9">
        <f t="shared" si="11"/>
        <v>0.14842105263157895</v>
      </c>
    </row>
    <row r="238" spans="1:27" x14ac:dyDescent="0.25">
      <c r="A238" s="3">
        <v>44434</v>
      </c>
      <c r="B238" t="s">
        <v>30</v>
      </c>
      <c r="C238" t="s">
        <v>20</v>
      </c>
      <c r="D238" t="s">
        <v>300</v>
      </c>
      <c r="E238">
        <v>2000</v>
      </c>
      <c r="F238">
        <v>282</v>
      </c>
      <c r="G238">
        <v>350</v>
      </c>
      <c r="P238">
        <v>1</v>
      </c>
      <c r="Y238">
        <f t="shared" si="9"/>
        <v>1180.2</v>
      </c>
      <c r="Z238">
        <f t="shared" si="10"/>
        <v>819.8</v>
      </c>
      <c r="AA238" s="9">
        <f t="shared" si="11"/>
        <v>0.40989999999999999</v>
      </c>
    </row>
    <row r="239" spans="1:27" x14ac:dyDescent="0.25">
      <c r="A239" s="3">
        <v>44431</v>
      </c>
      <c r="B239" t="s">
        <v>30</v>
      </c>
      <c r="C239" t="s">
        <v>47</v>
      </c>
      <c r="D239" t="s">
        <v>284</v>
      </c>
      <c r="E239">
        <v>4308</v>
      </c>
      <c r="F239">
        <v>400</v>
      </c>
      <c r="G239">
        <f>850+550</f>
        <v>1400</v>
      </c>
      <c r="L239">
        <v>1</v>
      </c>
      <c r="O239">
        <v>1</v>
      </c>
      <c r="S239">
        <v>1</v>
      </c>
      <c r="V239">
        <v>1</v>
      </c>
      <c r="Y239">
        <f t="shared" si="9"/>
        <v>2960.08</v>
      </c>
      <c r="Z239">
        <f t="shared" si="10"/>
        <v>1347.92</v>
      </c>
      <c r="AA239" s="9">
        <f t="shared" si="11"/>
        <v>0.31288765088207987</v>
      </c>
    </row>
    <row r="240" spans="1:27" x14ac:dyDescent="0.25">
      <c r="A240" s="3">
        <v>44440</v>
      </c>
      <c r="B240" t="s">
        <v>30</v>
      </c>
      <c r="C240" t="s">
        <v>47</v>
      </c>
      <c r="D240" t="s">
        <v>293</v>
      </c>
      <c r="E240">
        <v>3004</v>
      </c>
      <c r="F240">
        <v>435</v>
      </c>
      <c r="G240">
        <v>1160</v>
      </c>
      <c r="H240">
        <v>1</v>
      </c>
      <c r="K240">
        <v>1</v>
      </c>
      <c r="Q240">
        <v>1</v>
      </c>
      <c r="S240">
        <v>1</v>
      </c>
      <c r="Y240">
        <f t="shared" si="9"/>
        <v>2419.54</v>
      </c>
      <c r="Z240">
        <f t="shared" si="10"/>
        <v>584.46</v>
      </c>
      <c r="AA240" s="9">
        <f t="shared" si="11"/>
        <v>0.19456058588548603</v>
      </c>
    </row>
    <row r="241" spans="1:27" x14ac:dyDescent="0.25">
      <c r="A241" s="3">
        <v>44442</v>
      </c>
      <c r="B241" t="s">
        <v>31</v>
      </c>
      <c r="C241" t="s">
        <v>20</v>
      </c>
      <c r="D241" t="s">
        <v>292</v>
      </c>
      <c r="E241">
        <v>278</v>
      </c>
      <c r="F241">
        <v>72</v>
      </c>
      <c r="G241">
        <v>250</v>
      </c>
      <c r="H241">
        <v>1</v>
      </c>
      <c r="Q241">
        <v>1</v>
      </c>
      <c r="Y241">
        <f t="shared" si="9"/>
        <v>401.48</v>
      </c>
      <c r="Z241">
        <f t="shared" si="10"/>
        <v>-123.48000000000002</v>
      </c>
      <c r="AA241" s="9">
        <f t="shared" si="11"/>
        <v>-0.44417266187050364</v>
      </c>
    </row>
    <row r="242" spans="1:27" x14ac:dyDescent="0.25">
      <c r="A242" s="3">
        <v>44440</v>
      </c>
      <c r="B242" t="s">
        <v>31</v>
      </c>
      <c r="C242" t="s">
        <v>47</v>
      </c>
      <c r="D242" t="s">
        <v>291</v>
      </c>
      <c r="E242">
        <v>1217</v>
      </c>
      <c r="F242">
        <f>89+36</f>
        <v>125</v>
      </c>
      <c r="G242">
        <v>650</v>
      </c>
      <c r="H242">
        <v>1</v>
      </c>
      <c r="P242">
        <v>1</v>
      </c>
      <c r="Y242">
        <f t="shared" si="9"/>
        <v>1103.92</v>
      </c>
      <c r="Z242">
        <f t="shared" si="10"/>
        <v>113.07999999999993</v>
      </c>
      <c r="AA242" s="9">
        <f t="shared" si="11"/>
        <v>9.2917009038619491E-2</v>
      </c>
    </row>
    <row r="243" spans="1:27" x14ac:dyDescent="0.25">
      <c r="A243" s="3">
        <v>44440</v>
      </c>
      <c r="B243" t="s">
        <v>31</v>
      </c>
      <c r="C243" t="s">
        <v>47</v>
      </c>
      <c r="D243" t="s">
        <v>267</v>
      </c>
      <c r="E243">
        <v>350</v>
      </c>
      <c r="F243">
        <f>100+62+43+92</f>
        <v>297</v>
      </c>
      <c r="G243">
        <v>315</v>
      </c>
      <c r="H243">
        <v>1</v>
      </c>
      <c r="Y243">
        <f t="shared" si="9"/>
        <v>732.7</v>
      </c>
      <c r="Z243">
        <f t="shared" si="10"/>
        <v>-382.70000000000005</v>
      </c>
      <c r="AA243" s="9">
        <f t="shared" si="11"/>
        <v>-1.0934285714285716</v>
      </c>
    </row>
    <row r="244" spans="1:27" x14ac:dyDescent="0.25">
      <c r="A244" s="3">
        <v>44432</v>
      </c>
      <c r="B244" t="s">
        <v>31</v>
      </c>
      <c r="C244" t="s">
        <v>48</v>
      </c>
      <c r="D244" t="s">
        <v>303</v>
      </c>
      <c r="E244">
        <v>4900</v>
      </c>
      <c r="F244">
        <f>540+91+39+78+40</f>
        <v>788</v>
      </c>
      <c r="G244">
        <f>2350+200</f>
        <v>2550</v>
      </c>
      <c r="H244">
        <v>1</v>
      </c>
      <c r="N244">
        <v>1</v>
      </c>
      <c r="O244">
        <v>1</v>
      </c>
      <c r="P244">
        <v>1</v>
      </c>
      <c r="Q244">
        <v>1</v>
      </c>
      <c r="Y244">
        <f t="shared" si="9"/>
        <v>4690.8</v>
      </c>
      <c r="Z244">
        <f t="shared" si="10"/>
        <v>209.19999999999982</v>
      </c>
      <c r="AA244" s="9">
        <f t="shared" si="11"/>
        <v>4.2693877551020373E-2</v>
      </c>
    </row>
    <row r="245" spans="1:27" x14ac:dyDescent="0.25">
      <c r="A245" s="3">
        <v>44433</v>
      </c>
      <c r="B245" t="s">
        <v>31</v>
      </c>
      <c r="C245" t="s">
        <v>34</v>
      </c>
      <c r="D245" t="s">
        <v>285</v>
      </c>
      <c r="E245">
        <v>3833</v>
      </c>
      <c r="F245">
        <f>359+257</f>
        <v>616</v>
      </c>
      <c r="G245">
        <v>1925</v>
      </c>
      <c r="I245">
        <v>1</v>
      </c>
      <c r="L245">
        <v>1</v>
      </c>
      <c r="M245">
        <v>1</v>
      </c>
      <c r="S245">
        <v>1</v>
      </c>
      <c r="Y245">
        <f t="shared" si="9"/>
        <v>3599.18</v>
      </c>
      <c r="Z245">
        <f t="shared" si="10"/>
        <v>233.82000000000016</v>
      </c>
      <c r="AA245" s="9">
        <f t="shared" si="11"/>
        <v>6.1001826245760546E-2</v>
      </c>
    </row>
    <row r="246" spans="1:27" x14ac:dyDescent="0.25">
      <c r="A246" s="3">
        <v>44445</v>
      </c>
      <c r="B246" t="s">
        <v>102</v>
      </c>
      <c r="C246" t="s">
        <v>20</v>
      </c>
      <c r="D246" t="s">
        <v>296</v>
      </c>
      <c r="E246">
        <v>2745</v>
      </c>
      <c r="F246">
        <f>182+61</f>
        <v>243</v>
      </c>
      <c r="G246">
        <v>670</v>
      </c>
      <c r="O246">
        <v>1</v>
      </c>
      <c r="Y246">
        <f t="shared" si="9"/>
        <v>1651</v>
      </c>
      <c r="Z246">
        <f t="shared" si="10"/>
        <v>1094</v>
      </c>
      <c r="AA246" s="9">
        <f t="shared" si="11"/>
        <v>0.39854280510018214</v>
      </c>
    </row>
    <row r="247" spans="1:27" x14ac:dyDescent="0.25">
      <c r="A247" s="3">
        <v>44438</v>
      </c>
      <c r="B247" t="s">
        <v>31</v>
      </c>
      <c r="C247" t="s">
        <v>301</v>
      </c>
      <c r="D247" t="s">
        <v>274</v>
      </c>
      <c r="E247">
        <v>11635</v>
      </c>
      <c r="F247">
        <f>517+96+24+50+449</f>
        <v>1136</v>
      </c>
      <c r="G247">
        <f>650+565+1083+1665+90</f>
        <v>4053</v>
      </c>
      <c r="H247">
        <v>1</v>
      </c>
      <c r="P247">
        <v>1</v>
      </c>
      <c r="Q247">
        <v>1</v>
      </c>
      <c r="R247">
        <v>1</v>
      </c>
      <c r="T247">
        <v>1</v>
      </c>
      <c r="Y247">
        <f t="shared" si="9"/>
        <v>8327.7000000000007</v>
      </c>
      <c r="Z247">
        <f t="shared" si="10"/>
        <v>3307.2999999999993</v>
      </c>
      <c r="AA247" s="9">
        <f t="shared" si="11"/>
        <v>0.28425440481306397</v>
      </c>
    </row>
    <row r="248" spans="1:27" x14ac:dyDescent="0.25">
      <c r="A248" s="3">
        <v>44449</v>
      </c>
      <c r="B248" t="s">
        <v>30</v>
      </c>
      <c r="C248" t="s">
        <v>34</v>
      </c>
      <c r="D248" t="s">
        <v>305</v>
      </c>
      <c r="E248">
        <v>1200</v>
      </c>
      <c r="F248">
        <f>129+36+110</f>
        <v>275</v>
      </c>
      <c r="G248">
        <v>400</v>
      </c>
      <c r="L248">
        <v>1</v>
      </c>
      <c r="P248">
        <v>1</v>
      </c>
      <c r="Y248">
        <f t="shared" si="9"/>
        <v>1014.5</v>
      </c>
      <c r="Z248">
        <f t="shared" si="10"/>
        <v>185.5</v>
      </c>
      <c r="AA248" s="9">
        <f t="shared" si="11"/>
        <v>0.15458333333333332</v>
      </c>
    </row>
    <row r="249" spans="1:27" x14ac:dyDescent="0.25">
      <c r="A249" s="3">
        <v>44452</v>
      </c>
      <c r="B249" t="s">
        <v>31</v>
      </c>
      <c r="C249" t="s">
        <v>310</v>
      </c>
      <c r="D249" t="s">
        <v>289</v>
      </c>
      <c r="E249">
        <v>3360</v>
      </c>
      <c r="F249">
        <f>287+272+91</f>
        <v>650</v>
      </c>
      <c r="G249">
        <f>520+420</f>
        <v>940</v>
      </c>
      <c r="N249">
        <v>1</v>
      </c>
      <c r="P249">
        <v>1</v>
      </c>
      <c r="S249">
        <v>1</v>
      </c>
      <c r="Y249">
        <f t="shared" si="9"/>
        <v>2528.6</v>
      </c>
      <c r="Z249">
        <f t="shared" si="10"/>
        <v>831.40000000000009</v>
      </c>
      <c r="AA249" s="9">
        <f t="shared" si="11"/>
        <v>0.24744047619047621</v>
      </c>
    </row>
    <row r="250" spans="1:27" x14ac:dyDescent="0.25">
      <c r="A250" s="3">
        <v>44453</v>
      </c>
      <c r="B250" t="s">
        <v>30</v>
      </c>
      <c r="C250" t="s">
        <v>47</v>
      </c>
      <c r="D250" t="s">
        <v>299</v>
      </c>
      <c r="E250">
        <v>3220</v>
      </c>
      <c r="F250">
        <f>210+140+107</f>
        <v>457</v>
      </c>
      <c r="G250">
        <v>990</v>
      </c>
      <c r="Y250">
        <f t="shared" si="9"/>
        <v>2329.9</v>
      </c>
      <c r="Z250">
        <f t="shared" si="10"/>
        <v>890.09999999999991</v>
      </c>
      <c r="AA250" s="9">
        <f t="shared" si="11"/>
        <v>0.27642857142857141</v>
      </c>
    </row>
    <row r="251" spans="1:27" x14ac:dyDescent="0.25">
      <c r="A251" s="3">
        <v>44446</v>
      </c>
      <c r="B251" t="s">
        <v>31</v>
      </c>
      <c r="C251" t="s">
        <v>48</v>
      </c>
      <c r="D251" t="s">
        <v>295</v>
      </c>
      <c r="E251">
        <v>6843</v>
      </c>
      <c r="F251">
        <f>343+359</f>
        <v>702</v>
      </c>
      <c r="G251">
        <v>2370</v>
      </c>
      <c r="I251">
        <v>1</v>
      </c>
      <c r="L251">
        <v>1</v>
      </c>
      <c r="S251">
        <v>1</v>
      </c>
      <c r="Y251">
        <f t="shared" si="9"/>
        <v>4921.38</v>
      </c>
      <c r="Z251">
        <f t="shared" si="10"/>
        <v>1921.62</v>
      </c>
      <c r="AA251" s="9">
        <f t="shared" si="11"/>
        <v>0.28081543182814556</v>
      </c>
    </row>
    <row r="252" spans="1:27" x14ac:dyDescent="0.25">
      <c r="A252" s="3">
        <v>44448</v>
      </c>
      <c r="B252" t="s">
        <v>31</v>
      </c>
      <c r="C252" t="s">
        <v>47</v>
      </c>
      <c r="D252" t="s">
        <v>306</v>
      </c>
      <c r="E252">
        <v>435</v>
      </c>
      <c r="F252">
        <v>109</v>
      </c>
      <c r="G252">
        <v>350</v>
      </c>
      <c r="Q252">
        <v>1</v>
      </c>
      <c r="R252">
        <v>1</v>
      </c>
      <c r="Y252">
        <f t="shared" si="9"/>
        <v>583</v>
      </c>
      <c r="Z252">
        <f t="shared" si="10"/>
        <v>-148</v>
      </c>
      <c r="AA252" s="9">
        <f t="shared" si="11"/>
        <v>-0.34022988505747126</v>
      </c>
    </row>
    <row r="253" spans="1:27" x14ac:dyDescent="0.25">
      <c r="A253" s="3">
        <v>44455</v>
      </c>
      <c r="B253" t="s">
        <v>31</v>
      </c>
      <c r="C253"/>
      <c r="D253" t="s">
        <v>307</v>
      </c>
      <c r="E253">
        <v>1500</v>
      </c>
      <c r="F253">
        <v>285</v>
      </c>
      <c r="M253">
        <v>1</v>
      </c>
      <c r="Q253">
        <v>1</v>
      </c>
      <c r="R253">
        <v>1</v>
      </c>
      <c r="T253">
        <v>1</v>
      </c>
      <c r="Y253">
        <f t="shared" si="9"/>
        <v>703.5</v>
      </c>
      <c r="Z253">
        <f t="shared" si="10"/>
        <v>796.5</v>
      </c>
      <c r="AA253" s="9">
        <f t="shared" si="11"/>
        <v>0.53100000000000003</v>
      </c>
    </row>
    <row r="254" spans="1:27" x14ac:dyDescent="0.25">
      <c r="A254" s="3">
        <v>44442</v>
      </c>
      <c r="B254" t="s">
        <v>31</v>
      </c>
      <c r="C254" t="s">
        <v>34</v>
      </c>
      <c r="D254" t="s">
        <v>302</v>
      </c>
      <c r="E254">
        <v>647</v>
      </c>
      <c r="F254">
        <v>127</v>
      </c>
      <c r="G254">
        <v>300</v>
      </c>
      <c r="O254">
        <v>1</v>
      </c>
      <c r="Y254">
        <f t="shared" si="9"/>
        <v>607.92000000000007</v>
      </c>
      <c r="Z254">
        <f t="shared" si="10"/>
        <v>39.079999999999927</v>
      </c>
      <c r="AA254" s="9">
        <f t="shared" si="11"/>
        <v>6.0401854714064805E-2</v>
      </c>
    </row>
    <row r="255" spans="1:27" x14ac:dyDescent="0.25">
      <c r="A255" s="3">
        <v>44455</v>
      </c>
      <c r="B255" t="s">
        <v>31</v>
      </c>
      <c r="C255" t="s">
        <v>48</v>
      </c>
      <c r="D255" t="s">
        <v>94</v>
      </c>
      <c r="E255">
        <v>2450</v>
      </c>
      <c r="F255">
        <v>129</v>
      </c>
      <c r="G255">
        <v>575</v>
      </c>
      <c r="I255">
        <v>1</v>
      </c>
      <c r="M255">
        <v>1</v>
      </c>
      <c r="Y255">
        <f t="shared" si="9"/>
        <v>1353.9</v>
      </c>
      <c r="Z255">
        <f t="shared" si="10"/>
        <v>1096.0999999999999</v>
      </c>
      <c r="AA255" s="9">
        <f t="shared" si="11"/>
        <v>0.44738775510204076</v>
      </c>
    </row>
    <row r="256" spans="1:27" x14ac:dyDescent="0.25">
      <c r="A256" s="3">
        <v>44454</v>
      </c>
      <c r="B256" t="s">
        <v>30</v>
      </c>
      <c r="C256" t="s">
        <v>48</v>
      </c>
      <c r="D256" t="s">
        <v>308</v>
      </c>
      <c r="E256">
        <v>3020</v>
      </c>
      <c r="F256">
        <v>199</v>
      </c>
      <c r="G256">
        <v>1150</v>
      </c>
      <c r="H256">
        <v>1</v>
      </c>
      <c r="M256">
        <v>1</v>
      </c>
      <c r="R256">
        <v>1</v>
      </c>
      <c r="Y256">
        <f t="shared" si="9"/>
        <v>2154.1000000000004</v>
      </c>
      <c r="Z256">
        <f t="shared" si="10"/>
        <v>865.89999999999964</v>
      </c>
      <c r="AA256" s="9">
        <f t="shared" si="11"/>
        <v>0.28672185430463565</v>
      </c>
    </row>
    <row r="257" spans="1:27" x14ac:dyDescent="0.25">
      <c r="A257" s="3">
        <v>44459</v>
      </c>
      <c r="B257" t="s">
        <v>30</v>
      </c>
      <c r="C257" t="s">
        <v>20</v>
      </c>
      <c r="D257" t="s">
        <v>313</v>
      </c>
      <c r="E257">
        <v>2286</v>
      </c>
      <c r="F257">
        <f>152+33</f>
        <v>185</v>
      </c>
      <c r="G257">
        <f>410+415</f>
        <v>825</v>
      </c>
      <c r="H257">
        <v>1</v>
      </c>
      <c r="L257">
        <v>1</v>
      </c>
      <c r="M257">
        <v>1</v>
      </c>
      <c r="P257">
        <v>1</v>
      </c>
      <c r="S257">
        <v>1</v>
      </c>
      <c r="Y257">
        <f t="shared" si="9"/>
        <v>1622.8600000000001</v>
      </c>
      <c r="Z257">
        <f t="shared" si="10"/>
        <v>663.13999999999987</v>
      </c>
      <c r="AA257" s="9">
        <f t="shared" si="11"/>
        <v>0.29008748906386694</v>
      </c>
    </row>
    <row r="258" spans="1:27" x14ac:dyDescent="0.25">
      <c r="A258" s="3">
        <v>44462</v>
      </c>
      <c r="B258" t="s">
        <v>30</v>
      </c>
      <c r="C258" t="s">
        <v>48</v>
      </c>
      <c r="D258" t="s">
        <v>320</v>
      </c>
      <c r="E258">
        <v>275</v>
      </c>
      <c r="F258">
        <v>22</v>
      </c>
      <c r="G258">
        <v>180</v>
      </c>
      <c r="L258">
        <v>1</v>
      </c>
      <c r="M258">
        <v>1</v>
      </c>
      <c r="Y258">
        <f t="shared" ref="Y258:Y322" si="12">G258+F258*1.1+E258*0.26</f>
        <v>275.7</v>
      </c>
      <c r="Z258">
        <f t="shared" ref="Z258:Z322" si="13">E258-Y258</f>
        <v>-0.69999999999998863</v>
      </c>
      <c r="AA258" s="9">
        <f t="shared" ref="AA258:AA322" si="14">Z258/E258</f>
        <v>-2.545454545454504E-3</v>
      </c>
    </row>
    <row r="259" spans="1:27" x14ac:dyDescent="0.25">
      <c r="A259" s="3">
        <v>44461</v>
      </c>
      <c r="B259" t="s">
        <v>31</v>
      </c>
      <c r="C259" t="s">
        <v>34</v>
      </c>
      <c r="D259" t="s">
        <v>315</v>
      </c>
      <c r="E259">
        <v>2200</v>
      </c>
      <c r="F259">
        <f>218+36</f>
        <v>254</v>
      </c>
      <c r="G259">
        <v>1011</v>
      </c>
      <c r="H259">
        <v>1</v>
      </c>
      <c r="L259">
        <v>1</v>
      </c>
      <c r="M259">
        <v>1</v>
      </c>
      <c r="O259">
        <v>1</v>
      </c>
      <c r="Q259">
        <v>1</v>
      </c>
      <c r="Y259">
        <f t="shared" si="12"/>
        <v>1862.4</v>
      </c>
      <c r="Z259">
        <f t="shared" si="13"/>
        <v>337.59999999999991</v>
      </c>
      <c r="AA259" s="9">
        <f t="shared" si="14"/>
        <v>0.15345454545454543</v>
      </c>
    </row>
    <row r="260" spans="1:27" x14ac:dyDescent="0.25">
      <c r="A260" s="3">
        <v>44469</v>
      </c>
      <c r="B260" t="s">
        <v>102</v>
      </c>
      <c r="C260" s="12" t="s">
        <v>31</v>
      </c>
      <c r="D260" t="s">
        <v>324</v>
      </c>
      <c r="E260">
        <v>600</v>
      </c>
      <c r="F260">
        <v>88</v>
      </c>
      <c r="G260">
        <v>250</v>
      </c>
      <c r="H260">
        <v>1</v>
      </c>
      <c r="L260">
        <v>1</v>
      </c>
      <c r="Q260">
        <v>1</v>
      </c>
      <c r="Y260">
        <f t="shared" si="12"/>
        <v>502.8</v>
      </c>
      <c r="Z260">
        <f t="shared" si="13"/>
        <v>97.199999999999989</v>
      </c>
      <c r="AA260" s="9">
        <f t="shared" si="14"/>
        <v>0.16199999999999998</v>
      </c>
    </row>
    <row r="261" spans="1:27" x14ac:dyDescent="0.25">
      <c r="A261" s="3">
        <v>44467</v>
      </c>
      <c r="B261" t="s">
        <v>31</v>
      </c>
      <c r="C261" t="s">
        <v>48</v>
      </c>
      <c r="D261" t="s">
        <v>318</v>
      </c>
      <c r="E261">
        <v>1050</v>
      </c>
      <c r="F261">
        <v>106</v>
      </c>
      <c r="G261">
        <v>340</v>
      </c>
      <c r="H261">
        <v>1</v>
      </c>
      <c r="Q261">
        <v>1</v>
      </c>
      <c r="S261">
        <v>1</v>
      </c>
      <c r="T261">
        <v>1</v>
      </c>
      <c r="Y261">
        <f t="shared" si="12"/>
        <v>729.6</v>
      </c>
      <c r="Z261">
        <f t="shared" si="13"/>
        <v>320.39999999999998</v>
      </c>
      <c r="AA261" s="9">
        <f t="shared" si="14"/>
        <v>0.3051428571428571</v>
      </c>
    </row>
    <row r="262" spans="1:27" x14ac:dyDescent="0.25">
      <c r="A262" s="3">
        <v>44467</v>
      </c>
      <c r="B262" t="s">
        <v>30</v>
      </c>
      <c r="C262" t="s">
        <v>34</v>
      </c>
      <c r="D262" t="s">
        <v>323</v>
      </c>
      <c r="E262">
        <v>3150</v>
      </c>
      <c r="F262">
        <v>402</v>
      </c>
      <c r="G262">
        <v>680</v>
      </c>
      <c r="L262">
        <v>1</v>
      </c>
      <c r="M262">
        <v>1</v>
      </c>
      <c r="N262">
        <v>1</v>
      </c>
      <c r="P262">
        <v>1</v>
      </c>
      <c r="S262">
        <v>1</v>
      </c>
      <c r="Y262">
        <f t="shared" si="12"/>
        <v>1941.2</v>
      </c>
      <c r="Z262">
        <f t="shared" si="13"/>
        <v>1208.8</v>
      </c>
      <c r="AA262" s="9">
        <f t="shared" si="14"/>
        <v>0.38374603174603172</v>
      </c>
    </row>
    <row r="263" spans="1:27" x14ac:dyDescent="0.25">
      <c r="A263" s="3">
        <v>44467</v>
      </c>
      <c r="B263" t="s">
        <v>30</v>
      </c>
      <c r="C263" t="s">
        <v>20</v>
      </c>
      <c r="D263" t="s">
        <v>268</v>
      </c>
      <c r="E263">
        <v>4700</v>
      </c>
      <c r="F263">
        <f>245+82</f>
        <v>327</v>
      </c>
      <c r="G263">
        <v>665</v>
      </c>
      <c r="N263">
        <v>1</v>
      </c>
      <c r="O263">
        <v>1</v>
      </c>
      <c r="P263">
        <v>1</v>
      </c>
      <c r="Y263">
        <f t="shared" si="12"/>
        <v>2246.6999999999998</v>
      </c>
      <c r="Z263">
        <f t="shared" si="13"/>
        <v>2453.3000000000002</v>
      </c>
      <c r="AA263" s="9">
        <f t="shared" si="14"/>
        <v>0.52197872340425533</v>
      </c>
    </row>
    <row r="264" spans="1:27" x14ac:dyDescent="0.25">
      <c r="A264" s="3">
        <v>44467</v>
      </c>
      <c r="B264" t="s">
        <v>102</v>
      </c>
      <c r="C264" t="s">
        <v>47</v>
      </c>
      <c r="D264" t="s">
        <v>317</v>
      </c>
      <c r="E264">
        <v>3295</v>
      </c>
      <c r="F264">
        <v>244</v>
      </c>
      <c r="G264">
        <f>215+675</f>
        <v>890</v>
      </c>
      <c r="L264">
        <v>1</v>
      </c>
      <c r="P264">
        <v>1</v>
      </c>
      <c r="T264">
        <v>1</v>
      </c>
      <c r="V264">
        <v>1</v>
      </c>
      <c r="Y264">
        <f t="shared" si="12"/>
        <v>2015.1000000000001</v>
      </c>
      <c r="Z264">
        <f t="shared" si="13"/>
        <v>1279.8999999999999</v>
      </c>
      <c r="AA264" s="9">
        <f t="shared" si="14"/>
        <v>0.38843702579666156</v>
      </c>
    </row>
    <row r="265" spans="1:27" x14ac:dyDescent="0.25">
      <c r="A265" s="3">
        <v>44441</v>
      </c>
      <c r="B265" t="s">
        <v>31</v>
      </c>
      <c r="C265" t="s">
        <v>48</v>
      </c>
      <c r="D265" t="s">
        <v>304</v>
      </c>
      <c r="E265">
        <v>1033</v>
      </c>
      <c r="F265">
        <f>25+25+39+394</f>
        <v>483</v>
      </c>
      <c r="H265">
        <v>1</v>
      </c>
      <c r="R265">
        <v>1</v>
      </c>
      <c r="Y265">
        <f t="shared" si="12"/>
        <v>799.88000000000011</v>
      </c>
      <c r="Z265">
        <f t="shared" si="13"/>
        <v>233.11999999999989</v>
      </c>
      <c r="AA265" s="9">
        <f t="shared" si="14"/>
        <v>0.22567279767666978</v>
      </c>
    </row>
    <row r="266" spans="1:27" x14ac:dyDescent="0.25">
      <c r="A266" s="3">
        <v>44470</v>
      </c>
      <c r="B266" t="s">
        <v>30</v>
      </c>
      <c r="C266" t="s">
        <v>34</v>
      </c>
      <c r="D266" t="s">
        <v>325</v>
      </c>
      <c r="E266">
        <v>1416</v>
      </c>
      <c r="F266">
        <f>188+41</f>
        <v>229</v>
      </c>
      <c r="G266">
        <v>440</v>
      </c>
      <c r="H266">
        <v>1</v>
      </c>
      <c r="Q266">
        <v>1</v>
      </c>
      <c r="R266">
        <v>1</v>
      </c>
      <c r="Y266">
        <f t="shared" si="12"/>
        <v>1060.0600000000002</v>
      </c>
      <c r="Z266">
        <f t="shared" si="13"/>
        <v>355.93999999999983</v>
      </c>
      <c r="AA266" s="9">
        <f t="shared" si="14"/>
        <v>0.25137005649717503</v>
      </c>
    </row>
    <row r="267" spans="1:27" x14ac:dyDescent="0.25">
      <c r="A267" s="3">
        <v>44455</v>
      </c>
      <c r="B267" t="s">
        <v>31</v>
      </c>
      <c r="C267" t="s">
        <v>20</v>
      </c>
      <c r="D267" t="s">
        <v>316</v>
      </c>
      <c r="E267">
        <v>1500</v>
      </c>
      <c r="F267">
        <f>285+196</f>
        <v>481</v>
      </c>
      <c r="G267">
        <v>582</v>
      </c>
      <c r="H267">
        <v>1</v>
      </c>
      <c r="M267">
        <v>1</v>
      </c>
      <c r="Q267">
        <v>1</v>
      </c>
      <c r="R267">
        <v>1</v>
      </c>
      <c r="T267">
        <v>1</v>
      </c>
      <c r="Y267">
        <f t="shared" si="12"/>
        <v>1501.1</v>
      </c>
      <c r="Z267">
        <f t="shared" si="13"/>
        <v>-1.0999999999999091</v>
      </c>
      <c r="AA267" s="9">
        <f t="shared" si="14"/>
        <v>-7.3333333333327273E-4</v>
      </c>
    </row>
    <row r="268" spans="1:27" x14ac:dyDescent="0.25">
      <c r="A268" s="3">
        <v>44468</v>
      </c>
      <c r="B268" t="s">
        <v>30</v>
      </c>
      <c r="C268" t="s">
        <v>47</v>
      </c>
      <c r="D268" t="s">
        <v>333</v>
      </c>
      <c r="E268">
        <v>1700</v>
      </c>
      <c r="F268">
        <v>104</v>
      </c>
      <c r="G268">
        <v>640</v>
      </c>
      <c r="L268">
        <v>1</v>
      </c>
      <c r="Y268">
        <f t="shared" si="12"/>
        <v>1196.4000000000001</v>
      </c>
      <c r="Z268">
        <f t="shared" si="13"/>
        <v>503.59999999999991</v>
      </c>
      <c r="AA268" s="9">
        <f t="shared" si="14"/>
        <v>0.29623529411764699</v>
      </c>
    </row>
    <row r="269" spans="1:27" x14ac:dyDescent="0.25">
      <c r="A269" s="3">
        <v>44470</v>
      </c>
      <c r="B269" t="s">
        <v>31</v>
      </c>
      <c r="C269" t="s">
        <v>34</v>
      </c>
      <c r="D269" t="s">
        <v>331</v>
      </c>
      <c r="E269">
        <v>1625</v>
      </c>
      <c r="F269">
        <v>89</v>
      </c>
      <c r="G269">
        <v>420</v>
      </c>
      <c r="L269">
        <v>1</v>
      </c>
      <c r="P269">
        <v>1</v>
      </c>
      <c r="S269">
        <v>1</v>
      </c>
      <c r="Y269">
        <f t="shared" si="12"/>
        <v>940.4</v>
      </c>
      <c r="Z269">
        <f t="shared" si="13"/>
        <v>684.6</v>
      </c>
      <c r="AA269" s="9">
        <f t="shared" si="14"/>
        <v>0.42129230769230769</v>
      </c>
    </row>
    <row r="270" spans="1:27" x14ac:dyDescent="0.25">
      <c r="A270" s="3">
        <v>44473</v>
      </c>
      <c r="B270" t="s">
        <v>31</v>
      </c>
      <c r="C270" t="s">
        <v>34</v>
      </c>
      <c r="D270" t="s">
        <v>99</v>
      </c>
      <c r="E270">
        <v>2070</v>
      </c>
      <c r="F270">
        <f>240+44</f>
        <v>284</v>
      </c>
      <c r="G270">
        <v>1000</v>
      </c>
      <c r="L270">
        <v>1</v>
      </c>
      <c r="P270">
        <v>1</v>
      </c>
      <c r="Y270">
        <f t="shared" si="12"/>
        <v>1850.6000000000001</v>
      </c>
      <c r="Z270">
        <f t="shared" si="13"/>
        <v>219.39999999999986</v>
      </c>
      <c r="AA270" s="9">
        <f t="shared" si="14"/>
        <v>0.10599033816425114</v>
      </c>
    </row>
    <row r="271" spans="1:27" x14ac:dyDescent="0.25">
      <c r="A271" s="3">
        <v>44480</v>
      </c>
      <c r="B271" t="s">
        <v>31</v>
      </c>
      <c r="C271" t="s">
        <v>30</v>
      </c>
      <c r="D271" t="s">
        <v>112</v>
      </c>
      <c r="E271">
        <v>2300</v>
      </c>
      <c r="F271">
        <v>180</v>
      </c>
      <c r="V271">
        <v>1</v>
      </c>
      <c r="Y271">
        <f t="shared" si="12"/>
        <v>796</v>
      </c>
      <c r="Z271">
        <f t="shared" si="13"/>
        <v>1504</v>
      </c>
      <c r="AA271" s="9">
        <f t="shared" si="14"/>
        <v>0.65391304347826085</v>
      </c>
    </row>
    <row r="272" spans="1:27" x14ac:dyDescent="0.25">
      <c r="A272" s="3">
        <v>44477</v>
      </c>
      <c r="B272" t="s">
        <v>31</v>
      </c>
      <c r="C272" t="s">
        <v>34</v>
      </c>
      <c r="D272" t="s">
        <v>328</v>
      </c>
      <c r="E272">
        <v>1465</v>
      </c>
      <c r="F272">
        <v>230</v>
      </c>
      <c r="G272">
        <v>675</v>
      </c>
      <c r="H272">
        <v>1</v>
      </c>
      <c r="Q272">
        <v>1</v>
      </c>
      <c r="Y272">
        <f t="shared" si="12"/>
        <v>1308.9000000000001</v>
      </c>
      <c r="Z272">
        <f t="shared" si="13"/>
        <v>156.09999999999991</v>
      </c>
      <c r="AA272" s="9">
        <f t="shared" si="14"/>
        <v>0.10655290102389073</v>
      </c>
    </row>
    <row r="273" spans="1:27" x14ac:dyDescent="0.25">
      <c r="A273" s="3">
        <v>44473</v>
      </c>
      <c r="B273" t="s">
        <v>31</v>
      </c>
      <c r="C273" t="s">
        <v>47</v>
      </c>
      <c r="D273" t="s">
        <v>312</v>
      </c>
      <c r="E273">
        <v>700</v>
      </c>
      <c r="F273">
        <v>134</v>
      </c>
      <c r="G273">
        <v>240</v>
      </c>
      <c r="I273">
        <v>1</v>
      </c>
      <c r="L273">
        <v>1</v>
      </c>
      <c r="M273">
        <v>1</v>
      </c>
      <c r="Y273">
        <f t="shared" si="12"/>
        <v>569.4</v>
      </c>
      <c r="Z273">
        <f t="shared" si="13"/>
        <v>130.60000000000002</v>
      </c>
      <c r="AA273" s="9">
        <f t="shared" si="14"/>
        <v>0.18657142857142861</v>
      </c>
    </row>
    <row r="274" spans="1:27" x14ac:dyDescent="0.25">
      <c r="A274" s="3">
        <v>44473</v>
      </c>
      <c r="B274" t="s">
        <v>30</v>
      </c>
      <c r="C274" t="s">
        <v>48</v>
      </c>
      <c r="D274" t="s">
        <v>332</v>
      </c>
      <c r="E274">
        <v>4200</v>
      </c>
      <c r="F274">
        <v>631</v>
      </c>
      <c r="G274">
        <f>500+1130</f>
        <v>1630</v>
      </c>
      <c r="H274">
        <v>1</v>
      </c>
      <c r="Q274">
        <v>1</v>
      </c>
      <c r="R274">
        <v>1</v>
      </c>
      <c r="S274">
        <v>1</v>
      </c>
      <c r="T274">
        <v>1</v>
      </c>
      <c r="Y274">
        <f t="shared" si="12"/>
        <v>3416.1</v>
      </c>
      <c r="Z274">
        <f t="shared" si="13"/>
        <v>783.90000000000009</v>
      </c>
      <c r="AA274" s="9">
        <f t="shared" si="14"/>
        <v>0.18664285714285717</v>
      </c>
    </row>
    <row r="275" spans="1:27" x14ac:dyDescent="0.25">
      <c r="A275" s="3">
        <v>44481</v>
      </c>
      <c r="B275" t="s">
        <v>31</v>
      </c>
      <c r="C275" t="s">
        <v>48</v>
      </c>
      <c r="D275" t="s">
        <v>330</v>
      </c>
      <c r="E275">
        <v>404</v>
      </c>
      <c r="F275">
        <v>45</v>
      </c>
      <c r="G275">
        <v>285</v>
      </c>
      <c r="M275">
        <v>1</v>
      </c>
      <c r="P275">
        <v>1</v>
      </c>
      <c r="S275">
        <v>1</v>
      </c>
      <c r="Y275">
        <f t="shared" si="12"/>
        <v>439.54</v>
      </c>
      <c r="Z275">
        <f t="shared" si="13"/>
        <v>-35.54000000000002</v>
      </c>
      <c r="AA275" s="9">
        <f t="shared" si="14"/>
        <v>-8.7970297029703021E-2</v>
      </c>
    </row>
    <row r="276" spans="1:27" x14ac:dyDescent="0.25">
      <c r="A276" s="3">
        <v>44483</v>
      </c>
      <c r="B276" t="s">
        <v>30</v>
      </c>
      <c r="C276" t="s">
        <v>102</v>
      </c>
      <c r="D276" t="s">
        <v>343</v>
      </c>
      <c r="E276">
        <v>2150</v>
      </c>
      <c r="F276">
        <v>134</v>
      </c>
      <c r="G276">
        <v>320</v>
      </c>
      <c r="I276">
        <v>1</v>
      </c>
      <c r="Y276">
        <f t="shared" si="12"/>
        <v>1026.4000000000001</v>
      </c>
      <c r="Z276">
        <f t="shared" si="13"/>
        <v>1123.5999999999999</v>
      </c>
      <c r="AA276" s="9">
        <f t="shared" si="14"/>
        <v>0.52260465116279065</v>
      </c>
    </row>
    <row r="277" spans="1:27" x14ac:dyDescent="0.25">
      <c r="A277" s="3">
        <v>44484</v>
      </c>
      <c r="B277" t="s">
        <v>31</v>
      </c>
      <c r="C277" t="s">
        <v>48</v>
      </c>
      <c r="D277" t="s">
        <v>327</v>
      </c>
      <c r="E277">
        <v>400</v>
      </c>
      <c r="F277">
        <f>68+34+68</f>
        <v>170</v>
      </c>
      <c r="G277">
        <v>270</v>
      </c>
      <c r="H277">
        <v>1</v>
      </c>
      <c r="Q277">
        <v>1</v>
      </c>
      <c r="Y277">
        <f t="shared" si="12"/>
        <v>561</v>
      </c>
      <c r="Z277">
        <f t="shared" si="13"/>
        <v>-161</v>
      </c>
      <c r="AA277" s="9">
        <f t="shared" si="14"/>
        <v>-0.40250000000000002</v>
      </c>
    </row>
    <row r="278" spans="1:27" x14ac:dyDescent="0.25">
      <c r="A278" s="3">
        <v>44480</v>
      </c>
      <c r="B278" t="s">
        <v>31</v>
      </c>
      <c r="C278" t="s">
        <v>47</v>
      </c>
      <c r="D278" t="s">
        <v>326</v>
      </c>
      <c r="E278">
        <v>5425</v>
      </c>
      <c r="F278">
        <f>189+46</f>
        <v>235</v>
      </c>
      <c r="G278">
        <f>560+2165</f>
        <v>2725</v>
      </c>
      <c r="H278">
        <v>1</v>
      </c>
      <c r="L278">
        <v>1</v>
      </c>
      <c r="S278">
        <v>1</v>
      </c>
      <c r="T278">
        <v>1</v>
      </c>
      <c r="Y278">
        <f t="shared" si="12"/>
        <v>4394</v>
      </c>
      <c r="Z278">
        <f t="shared" si="13"/>
        <v>1031</v>
      </c>
      <c r="AA278" s="9">
        <f t="shared" si="14"/>
        <v>0.19004608294930875</v>
      </c>
    </row>
    <row r="279" spans="1:27" x14ac:dyDescent="0.25">
      <c r="A279" s="3">
        <v>44480</v>
      </c>
      <c r="B279" t="s">
        <v>30</v>
      </c>
      <c r="C279" t="s">
        <v>48</v>
      </c>
      <c r="D279" t="s">
        <v>334</v>
      </c>
      <c r="E279">
        <v>1750</v>
      </c>
      <c r="F279">
        <v>118</v>
      </c>
      <c r="G279">
        <v>400</v>
      </c>
      <c r="V279">
        <v>1</v>
      </c>
      <c r="Y279">
        <f t="shared" si="12"/>
        <v>984.8</v>
      </c>
      <c r="Z279">
        <f t="shared" si="13"/>
        <v>765.2</v>
      </c>
      <c r="AA279" s="9">
        <f t="shared" si="14"/>
        <v>0.4372571428571429</v>
      </c>
    </row>
    <row r="280" spans="1:27" x14ac:dyDescent="0.25">
      <c r="A280" s="3">
        <v>44482</v>
      </c>
      <c r="B280" t="s">
        <v>31</v>
      </c>
      <c r="C280" t="s">
        <v>48</v>
      </c>
      <c r="D280" t="s">
        <v>340</v>
      </c>
      <c r="E280">
        <v>750</v>
      </c>
      <c r="F280">
        <v>93</v>
      </c>
      <c r="G280">
        <v>255</v>
      </c>
      <c r="H280">
        <v>1</v>
      </c>
      <c r="U280">
        <v>1</v>
      </c>
      <c r="Y280">
        <f t="shared" si="12"/>
        <v>552.29999999999995</v>
      </c>
      <c r="Z280">
        <f t="shared" si="13"/>
        <v>197.70000000000005</v>
      </c>
      <c r="AA280" s="9">
        <f t="shared" si="14"/>
        <v>0.26360000000000006</v>
      </c>
    </row>
    <row r="281" spans="1:27" x14ac:dyDescent="0.25">
      <c r="A281" s="3">
        <v>44480</v>
      </c>
      <c r="B281" t="s">
        <v>31</v>
      </c>
      <c r="C281" t="s">
        <v>34</v>
      </c>
      <c r="D281" t="s">
        <v>337</v>
      </c>
      <c r="E281">
        <v>6310</v>
      </c>
      <c r="F281">
        <f>1245+55+241+121+137</f>
        <v>1799</v>
      </c>
      <c r="G281">
        <f>750+3250</f>
        <v>4000</v>
      </c>
      <c r="H281">
        <v>1</v>
      </c>
      <c r="Q281">
        <v>1</v>
      </c>
      <c r="R281">
        <v>1</v>
      </c>
      <c r="S281">
        <v>1</v>
      </c>
      <c r="T281">
        <v>1</v>
      </c>
      <c r="Y281">
        <f t="shared" si="12"/>
        <v>7619.5</v>
      </c>
      <c r="Z281">
        <f t="shared" si="13"/>
        <v>-1309.5</v>
      </c>
      <c r="AA281" s="9">
        <f t="shared" si="14"/>
        <v>-0.20752773375594294</v>
      </c>
    </row>
    <row r="282" spans="1:27" x14ac:dyDescent="0.25">
      <c r="A282" s="3">
        <v>44480</v>
      </c>
      <c r="B282" t="s">
        <v>30</v>
      </c>
      <c r="C282" t="s">
        <v>48</v>
      </c>
      <c r="D282" t="s">
        <v>172</v>
      </c>
      <c r="E282">
        <v>2291</v>
      </c>
      <c r="F282">
        <f>37+37+443</f>
        <v>517</v>
      </c>
      <c r="G282">
        <v>920</v>
      </c>
      <c r="H282">
        <v>1</v>
      </c>
      <c r="Q282">
        <v>1</v>
      </c>
      <c r="R282">
        <v>1</v>
      </c>
      <c r="T282">
        <v>1</v>
      </c>
      <c r="V282">
        <v>1</v>
      </c>
      <c r="Y282">
        <f t="shared" si="12"/>
        <v>2084.36</v>
      </c>
      <c r="Z282">
        <f t="shared" si="13"/>
        <v>206.63999999999987</v>
      </c>
      <c r="AA282" s="9">
        <f t="shared" si="14"/>
        <v>9.0196420776953237E-2</v>
      </c>
    </row>
    <row r="283" spans="1:27" x14ac:dyDescent="0.25">
      <c r="A283" s="3">
        <v>44483</v>
      </c>
      <c r="B283" t="s">
        <v>30</v>
      </c>
      <c r="C283" t="s">
        <v>48</v>
      </c>
      <c r="D283" t="s">
        <v>339</v>
      </c>
      <c r="E283">
        <v>1150</v>
      </c>
      <c r="F283">
        <v>252</v>
      </c>
      <c r="G283">
        <v>410</v>
      </c>
      <c r="M283">
        <v>1</v>
      </c>
      <c r="P283">
        <v>1</v>
      </c>
      <c r="R283">
        <v>1</v>
      </c>
      <c r="Y283">
        <f t="shared" si="12"/>
        <v>986.2</v>
      </c>
      <c r="Z283">
        <f t="shared" si="13"/>
        <v>163.79999999999995</v>
      </c>
      <c r="AA283" s="9">
        <f t="shared" si="14"/>
        <v>0.1424347826086956</v>
      </c>
    </row>
    <row r="284" spans="1:27" x14ac:dyDescent="0.25">
      <c r="A284" s="3">
        <v>44495</v>
      </c>
      <c r="B284" t="s">
        <v>102</v>
      </c>
      <c r="C284" t="s">
        <v>20</v>
      </c>
      <c r="D284" t="s">
        <v>341</v>
      </c>
      <c r="E284">
        <v>1282</v>
      </c>
      <c r="F284">
        <v>45</v>
      </c>
      <c r="G284">
        <v>350</v>
      </c>
      <c r="M284">
        <v>1</v>
      </c>
      <c r="O284">
        <v>1</v>
      </c>
      <c r="P284">
        <v>1</v>
      </c>
      <c r="S284">
        <v>1</v>
      </c>
      <c r="Y284">
        <f t="shared" si="12"/>
        <v>732.81999999999994</v>
      </c>
      <c r="Z284">
        <f t="shared" si="13"/>
        <v>549.18000000000006</v>
      </c>
      <c r="AA284" s="9">
        <f t="shared" si="14"/>
        <v>0.42837753510140408</v>
      </c>
    </row>
    <row r="285" spans="1:27" x14ac:dyDescent="0.25">
      <c r="A285" s="3">
        <v>44490</v>
      </c>
      <c r="B285" t="s">
        <v>31</v>
      </c>
      <c r="C285" t="s">
        <v>47</v>
      </c>
      <c r="D285" t="s">
        <v>346</v>
      </c>
      <c r="E285">
        <v>1300</v>
      </c>
      <c r="F285">
        <v>199</v>
      </c>
      <c r="G285">
        <v>630</v>
      </c>
      <c r="H285">
        <v>1</v>
      </c>
      <c r="Q285">
        <v>1</v>
      </c>
      <c r="R285">
        <v>1</v>
      </c>
      <c r="S285">
        <v>1</v>
      </c>
      <c r="T285">
        <v>1</v>
      </c>
      <c r="Y285">
        <f t="shared" si="12"/>
        <v>1186.9000000000001</v>
      </c>
      <c r="Z285">
        <f t="shared" si="13"/>
        <v>113.09999999999991</v>
      </c>
      <c r="AA285" s="9">
        <f t="shared" si="14"/>
        <v>8.6999999999999925E-2</v>
      </c>
    </row>
    <row r="286" spans="1:27" x14ac:dyDescent="0.25">
      <c r="A286" s="3">
        <v>44491</v>
      </c>
      <c r="B286" t="s">
        <v>31</v>
      </c>
      <c r="C286" t="s">
        <v>47</v>
      </c>
      <c r="D286" t="s">
        <v>345</v>
      </c>
      <c r="E286">
        <v>1040</v>
      </c>
      <c r="F286">
        <v>67</v>
      </c>
      <c r="G286">
        <v>346</v>
      </c>
      <c r="L286">
        <v>1</v>
      </c>
      <c r="M286">
        <v>1</v>
      </c>
      <c r="P286">
        <v>1</v>
      </c>
      <c r="Y286">
        <f t="shared" si="12"/>
        <v>690.1</v>
      </c>
      <c r="Z286">
        <f t="shared" si="13"/>
        <v>349.9</v>
      </c>
      <c r="AA286" s="9">
        <f t="shared" si="14"/>
        <v>0.33644230769230765</v>
      </c>
    </row>
    <row r="287" spans="1:27" x14ac:dyDescent="0.25">
      <c r="A287" s="3">
        <v>44488</v>
      </c>
      <c r="B287" t="s">
        <v>31</v>
      </c>
      <c r="C287" t="s">
        <v>47</v>
      </c>
      <c r="D287" t="s">
        <v>297</v>
      </c>
      <c r="E287">
        <v>760</v>
      </c>
      <c r="F287">
        <v>158</v>
      </c>
      <c r="G287">
        <f>212+245</f>
        <v>457</v>
      </c>
      <c r="H287">
        <v>1</v>
      </c>
      <c r="Y287">
        <f t="shared" si="12"/>
        <v>828.4</v>
      </c>
      <c r="Z287">
        <f t="shared" si="13"/>
        <v>-68.399999999999977</v>
      </c>
      <c r="AA287" s="9">
        <f t="shared" si="14"/>
        <v>-8.9999999999999969E-2</v>
      </c>
    </row>
    <row r="288" spans="1:27" x14ac:dyDescent="0.25">
      <c r="A288" s="3">
        <v>44452</v>
      </c>
      <c r="B288" t="s">
        <v>31</v>
      </c>
      <c r="C288" s="12" t="s">
        <v>47</v>
      </c>
      <c r="D288" t="s">
        <v>294</v>
      </c>
      <c r="E288">
        <v>7800</v>
      </c>
      <c r="F288">
        <f>54+1266</f>
        <v>1320</v>
      </c>
      <c r="G288">
        <f>483+1324</f>
        <v>1807</v>
      </c>
      <c r="L288">
        <v>1</v>
      </c>
      <c r="Y288">
        <f t="shared" si="12"/>
        <v>5287</v>
      </c>
      <c r="Z288">
        <f t="shared" si="13"/>
        <v>2513</v>
      </c>
      <c r="AA288" s="9">
        <f t="shared" si="14"/>
        <v>0.32217948717948719</v>
      </c>
    </row>
    <row r="289" spans="1:27" x14ac:dyDescent="0.25">
      <c r="A289" s="3">
        <v>44497</v>
      </c>
      <c r="B289" t="s">
        <v>30</v>
      </c>
      <c r="C289" t="s">
        <v>47</v>
      </c>
      <c r="D289" t="s">
        <v>349</v>
      </c>
      <c r="E289">
        <v>850</v>
      </c>
      <c r="F289">
        <v>177</v>
      </c>
      <c r="G289">
        <v>597</v>
      </c>
      <c r="H289">
        <v>1</v>
      </c>
      <c r="Q289">
        <v>1</v>
      </c>
      <c r="R289">
        <v>1</v>
      </c>
      <c r="S289">
        <v>1</v>
      </c>
      <c r="T289">
        <v>1</v>
      </c>
      <c r="Y289">
        <f t="shared" si="12"/>
        <v>1012.7</v>
      </c>
      <c r="Z289">
        <f t="shared" si="13"/>
        <v>-162.70000000000005</v>
      </c>
      <c r="AA289" s="9">
        <f t="shared" si="14"/>
        <v>-0.19141176470588242</v>
      </c>
    </row>
    <row r="290" spans="1:27" x14ac:dyDescent="0.25">
      <c r="A290" s="3">
        <v>44497</v>
      </c>
      <c r="B290" t="s">
        <v>102</v>
      </c>
      <c r="C290" t="s">
        <v>47</v>
      </c>
      <c r="D290" t="s">
        <v>348</v>
      </c>
      <c r="E290">
        <v>825</v>
      </c>
      <c r="F290">
        <v>120</v>
      </c>
      <c r="G290">
        <v>200</v>
      </c>
      <c r="V290">
        <v>1</v>
      </c>
      <c r="Y290">
        <f t="shared" si="12"/>
        <v>546.5</v>
      </c>
      <c r="Z290">
        <f t="shared" si="13"/>
        <v>278.5</v>
      </c>
      <c r="AA290" s="9">
        <f t="shared" si="14"/>
        <v>0.33757575757575758</v>
      </c>
    </row>
    <row r="291" spans="1:27" x14ac:dyDescent="0.25">
      <c r="A291" s="3">
        <v>44497</v>
      </c>
      <c r="B291" t="s">
        <v>31</v>
      </c>
      <c r="C291" t="s">
        <v>47</v>
      </c>
      <c r="D291" t="s">
        <v>319</v>
      </c>
      <c r="E291">
        <v>1385</v>
      </c>
      <c r="F291">
        <f>126+63</f>
        <v>189</v>
      </c>
      <c r="G291">
        <v>150</v>
      </c>
      <c r="V291">
        <v>1</v>
      </c>
      <c r="Y291">
        <f t="shared" si="12"/>
        <v>718</v>
      </c>
      <c r="Z291">
        <f t="shared" si="13"/>
        <v>667</v>
      </c>
      <c r="AA291" s="9">
        <f t="shared" si="14"/>
        <v>0.48158844765342962</v>
      </c>
    </row>
    <row r="292" spans="1:27" x14ac:dyDescent="0.25">
      <c r="A292" s="3">
        <v>44475</v>
      </c>
      <c r="B292" t="s">
        <v>31</v>
      </c>
      <c r="C292" s="12" t="s">
        <v>47</v>
      </c>
      <c r="D292" t="s">
        <v>319</v>
      </c>
      <c r="E292">
        <v>2650</v>
      </c>
      <c r="F292">
        <v>359</v>
      </c>
      <c r="G292">
        <v>490</v>
      </c>
      <c r="K292">
        <v>1</v>
      </c>
      <c r="S292">
        <v>1</v>
      </c>
      <c r="Y292">
        <f t="shared" si="12"/>
        <v>1573.9</v>
      </c>
      <c r="Z292">
        <f t="shared" si="13"/>
        <v>1076.0999999999999</v>
      </c>
      <c r="AA292" s="9">
        <f t="shared" si="14"/>
        <v>0.4060754716981132</v>
      </c>
    </row>
    <row r="293" spans="1:27" x14ac:dyDescent="0.25">
      <c r="A293" s="3">
        <v>44495</v>
      </c>
      <c r="B293" t="s">
        <v>102</v>
      </c>
      <c r="C293" t="s">
        <v>47</v>
      </c>
      <c r="D293" t="s">
        <v>338</v>
      </c>
      <c r="E293">
        <v>832</v>
      </c>
      <c r="F293">
        <v>35</v>
      </c>
      <c r="G293">
        <v>325</v>
      </c>
      <c r="H293">
        <v>1</v>
      </c>
      <c r="Q293">
        <v>1</v>
      </c>
      <c r="Y293">
        <f t="shared" si="12"/>
        <v>579.81999999999994</v>
      </c>
      <c r="Z293">
        <f t="shared" si="13"/>
        <v>252.18000000000006</v>
      </c>
      <c r="AA293" s="9">
        <f t="shared" si="14"/>
        <v>0.30310096153846161</v>
      </c>
    </row>
    <row r="294" spans="1:27" x14ac:dyDescent="0.25">
      <c r="A294" s="3">
        <v>44497</v>
      </c>
      <c r="B294" t="s">
        <v>102</v>
      </c>
      <c r="C294" t="s">
        <v>48</v>
      </c>
      <c r="D294" t="s">
        <v>336</v>
      </c>
      <c r="E294">
        <v>10193</v>
      </c>
      <c r="F294">
        <f>232+471+81</f>
        <v>784</v>
      </c>
      <c r="G294">
        <f>675+3120</f>
        <v>3795</v>
      </c>
      <c r="H294">
        <v>1</v>
      </c>
      <c r="Q294">
        <v>1</v>
      </c>
      <c r="R294">
        <v>1</v>
      </c>
      <c r="S294">
        <v>1</v>
      </c>
      <c r="T294">
        <v>1</v>
      </c>
      <c r="V294">
        <v>1</v>
      </c>
      <c r="Y294">
        <f t="shared" si="12"/>
        <v>7307.58</v>
      </c>
      <c r="Z294">
        <f t="shared" si="13"/>
        <v>2885.42</v>
      </c>
      <c r="AA294" s="9">
        <f t="shared" si="14"/>
        <v>0.28307858334150887</v>
      </c>
    </row>
    <row r="295" spans="1:27" x14ac:dyDescent="0.25">
      <c r="A295" s="3">
        <v>44494</v>
      </c>
      <c r="B295" t="s">
        <v>30</v>
      </c>
      <c r="C295" t="s">
        <v>34</v>
      </c>
      <c r="D295" t="s">
        <v>344</v>
      </c>
      <c r="E295">
        <v>9997</v>
      </c>
      <c r="F295">
        <f>215+1115+50+73+37</f>
        <v>1490</v>
      </c>
      <c r="G295">
        <v>1280</v>
      </c>
      <c r="H295">
        <v>1</v>
      </c>
      <c r="Q295">
        <v>1</v>
      </c>
      <c r="R295">
        <v>1</v>
      </c>
      <c r="Y295">
        <f t="shared" si="12"/>
        <v>5518.22</v>
      </c>
      <c r="Z295">
        <f t="shared" si="13"/>
        <v>4478.78</v>
      </c>
      <c r="AA295" s="9">
        <f t="shared" si="14"/>
        <v>0.44801240372111634</v>
      </c>
    </row>
    <row r="296" spans="1:27" x14ac:dyDescent="0.25">
      <c r="A296" s="3">
        <v>44497</v>
      </c>
      <c r="B296" t="s">
        <v>31</v>
      </c>
      <c r="C296" s="12" t="s">
        <v>47</v>
      </c>
      <c r="D296" t="s">
        <v>353</v>
      </c>
      <c r="E296">
        <v>350</v>
      </c>
      <c r="F296">
        <v>50</v>
      </c>
      <c r="G296">
        <v>57</v>
      </c>
      <c r="R296">
        <v>1</v>
      </c>
      <c r="Y296">
        <f t="shared" si="12"/>
        <v>203</v>
      </c>
      <c r="Z296">
        <f t="shared" si="13"/>
        <v>147</v>
      </c>
      <c r="AA296" s="9">
        <f t="shared" si="14"/>
        <v>0.42</v>
      </c>
    </row>
    <row r="297" spans="1:27" x14ac:dyDescent="0.25">
      <c r="A297" s="3">
        <v>44498</v>
      </c>
      <c r="B297" t="s">
        <v>31</v>
      </c>
      <c r="C297" t="s">
        <v>47</v>
      </c>
      <c r="D297" t="s">
        <v>197</v>
      </c>
      <c r="E297">
        <v>300</v>
      </c>
      <c r="F297">
        <v>45</v>
      </c>
      <c r="G297">
        <v>206</v>
      </c>
      <c r="M297">
        <v>1</v>
      </c>
      <c r="Y297">
        <f t="shared" si="12"/>
        <v>333.5</v>
      </c>
      <c r="Z297">
        <f t="shared" si="13"/>
        <v>-33.5</v>
      </c>
      <c r="AA297" s="9">
        <f t="shared" si="14"/>
        <v>-0.11166666666666666</v>
      </c>
    </row>
    <row r="298" spans="1:27" x14ac:dyDescent="0.25">
      <c r="A298" s="3">
        <v>44502</v>
      </c>
      <c r="B298" t="s">
        <v>102</v>
      </c>
      <c r="C298" t="s">
        <v>48</v>
      </c>
      <c r="D298" t="s">
        <v>212</v>
      </c>
      <c r="E298">
        <v>1993</v>
      </c>
      <c r="F298">
        <v>183</v>
      </c>
      <c r="G298">
        <v>410</v>
      </c>
      <c r="H298">
        <v>1</v>
      </c>
      <c r="Q298">
        <v>1</v>
      </c>
      <c r="R298">
        <v>1</v>
      </c>
      <c r="S298">
        <v>1</v>
      </c>
      <c r="Y298">
        <f t="shared" si="12"/>
        <v>1129.48</v>
      </c>
      <c r="Z298">
        <f t="shared" si="13"/>
        <v>863.52</v>
      </c>
      <c r="AA298" s="9">
        <f t="shared" si="14"/>
        <v>0.43327646763672856</v>
      </c>
    </row>
    <row r="299" spans="1:27" x14ac:dyDescent="0.25">
      <c r="A299" s="3">
        <v>44504</v>
      </c>
      <c r="B299" t="s">
        <v>102</v>
      </c>
      <c r="C299" s="12" t="s">
        <v>31</v>
      </c>
      <c r="D299" t="s">
        <v>355</v>
      </c>
      <c r="E299">
        <v>350</v>
      </c>
      <c r="F299">
        <v>45</v>
      </c>
      <c r="G299">
        <v>100</v>
      </c>
      <c r="O299">
        <v>1</v>
      </c>
      <c r="Y299">
        <f t="shared" si="12"/>
        <v>240.5</v>
      </c>
      <c r="Z299">
        <f t="shared" si="13"/>
        <v>109.5</v>
      </c>
      <c r="AA299" s="9">
        <f t="shared" si="14"/>
        <v>0.31285714285714283</v>
      </c>
    </row>
    <row r="300" spans="1:27" x14ac:dyDescent="0.25">
      <c r="A300" s="3">
        <v>44438</v>
      </c>
      <c r="B300" t="s">
        <v>31</v>
      </c>
      <c r="C300" t="s">
        <v>47</v>
      </c>
      <c r="D300" t="s">
        <v>282</v>
      </c>
      <c r="E300">
        <v>2580</v>
      </c>
      <c r="F300">
        <v>167</v>
      </c>
      <c r="G300">
        <f>370+460</f>
        <v>830</v>
      </c>
      <c r="V300">
        <v>1</v>
      </c>
      <c r="Y300">
        <f t="shared" si="12"/>
        <v>1684.5</v>
      </c>
      <c r="Z300">
        <f t="shared" si="13"/>
        <v>895.5</v>
      </c>
      <c r="AA300" s="9">
        <f t="shared" si="14"/>
        <v>0.34709302325581393</v>
      </c>
    </row>
    <row r="301" spans="1:27" x14ac:dyDescent="0.25">
      <c r="A301" s="3">
        <v>44501</v>
      </c>
      <c r="B301" t="s">
        <v>30</v>
      </c>
      <c r="C301" t="s">
        <v>47</v>
      </c>
      <c r="D301" t="s">
        <v>352</v>
      </c>
      <c r="E301">
        <v>1075</v>
      </c>
      <c r="F301">
        <v>75</v>
      </c>
      <c r="G301">
        <v>597</v>
      </c>
      <c r="H301">
        <v>1</v>
      </c>
      <c r="Q301">
        <v>1</v>
      </c>
      <c r="R301">
        <v>1</v>
      </c>
      <c r="S301">
        <v>1</v>
      </c>
      <c r="T301">
        <v>1</v>
      </c>
      <c r="Y301">
        <f t="shared" si="12"/>
        <v>959</v>
      </c>
      <c r="Z301">
        <f t="shared" si="13"/>
        <v>116</v>
      </c>
      <c r="AA301" s="9">
        <f t="shared" si="14"/>
        <v>0.10790697674418605</v>
      </c>
    </row>
    <row r="302" spans="1:27" x14ac:dyDescent="0.25">
      <c r="A302" s="3">
        <v>44501</v>
      </c>
      <c r="B302" t="s">
        <v>31</v>
      </c>
      <c r="C302" t="s">
        <v>20</v>
      </c>
      <c r="D302" t="s">
        <v>342</v>
      </c>
      <c r="E302">
        <v>1757</v>
      </c>
      <c r="F302">
        <f>216+27</f>
        <v>243</v>
      </c>
      <c r="G302">
        <v>710</v>
      </c>
      <c r="H302">
        <v>1</v>
      </c>
      <c r="Q302">
        <v>1</v>
      </c>
      <c r="S302">
        <v>1</v>
      </c>
      <c r="T302">
        <v>1</v>
      </c>
      <c r="W302">
        <v>1</v>
      </c>
      <c r="Y302">
        <f t="shared" si="12"/>
        <v>1434.12</v>
      </c>
      <c r="Z302">
        <f t="shared" si="13"/>
        <v>322.88000000000011</v>
      </c>
      <c r="AA302" s="9">
        <f t="shared" si="14"/>
        <v>0.18376778599886176</v>
      </c>
    </row>
    <row r="303" spans="1:27" x14ac:dyDescent="0.25">
      <c r="A303" s="3">
        <v>44495</v>
      </c>
      <c r="B303" t="s">
        <v>31</v>
      </c>
      <c r="C303" t="s">
        <v>20</v>
      </c>
      <c r="D303" t="s">
        <v>39</v>
      </c>
      <c r="E303">
        <v>800</v>
      </c>
      <c r="F303">
        <f>38+45</f>
        <v>83</v>
      </c>
      <c r="G303">
        <v>330</v>
      </c>
      <c r="L303">
        <v>1</v>
      </c>
      <c r="M303">
        <v>1</v>
      </c>
      <c r="P303">
        <v>1</v>
      </c>
      <c r="Y303">
        <f t="shared" si="12"/>
        <v>629.29999999999995</v>
      </c>
      <c r="Z303">
        <f t="shared" si="13"/>
        <v>170.70000000000005</v>
      </c>
      <c r="AA303" s="9">
        <f t="shared" si="14"/>
        <v>0.21337500000000006</v>
      </c>
    </row>
    <row r="304" spans="1:27" x14ac:dyDescent="0.25">
      <c r="A304" s="3">
        <v>44452</v>
      </c>
      <c r="B304" t="s">
        <v>31</v>
      </c>
      <c r="C304" t="s">
        <v>47</v>
      </c>
      <c r="D304" t="s">
        <v>294</v>
      </c>
      <c r="E304">
        <v>7800</v>
      </c>
      <c r="F304">
        <v>1266</v>
      </c>
      <c r="G304">
        <f>490+1325</f>
        <v>1815</v>
      </c>
      <c r="L304">
        <v>1</v>
      </c>
      <c r="Y304">
        <f t="shared" si="12"/>
        <v>5235.6000000000004</v>
      </c>
      <c r="Z304">
        <f t="shared" si="13"/>
        <v>2564.3999999999996</v>
      </c>
      <c r="AA304" s="9">
        <f t="shared" si="14"/>
        <v>0.3287692307692307</v>
      </c>
    </row>
    <row r="305" spans="1:27" x14ac:dyDescent="0.25">
      <c r="A305" s="3">
        <v>44473</v>
      </c>
      <c r="B305" t="s">
        <v>31</v>
      </c>
      <c r="C305" t="s">
        <v>20</v>
      </c>
      <c r="D305" t="s">
        <v>335</v>
      </c>
      <c r="E305">
        <v>1167</v>
      </c>
      <c r="F305">
        <v>68</v>
      </c>
      <c r="G305">
        <f>340+180</f>
        <v>520</v>
      </c>
      <c r="H305">
        <v>1</v>
      </c>
      <c r="Q305">
        <v>1</v>
      </c>
      <c r="S305">
        <v>1</v>
      </c>
      <c r="Y305">
        <f t="shared" si="12"/>
        <v>898.22</v>
      </c>
      <c r="Z305">
        <f t="shared" si="13"/>
        <v>268.77999999999997</v>
      </c>
      <c r="AA305" s="9">
        <f t="shared" si="14"/>
        <v>0.23031705227077975</v>
      </c>
    </row>
    <row r="306" spans="1:27" x14ac:dyDescent="0.25">
      <c r="A306" s="3">
        <v>44469</v>
      </c>
      <c r="B306" t="s">
        <v>31</v>
      </c>
      <c r="C306" t="s">
        <v>34</v>
      </c>
      <c r="D306" t="s">
        <v>321</v>
      </c>
      <c r="E306">
        <v>1275</v>
      </c>
      <c r="F306">
        <v>207</v>
      </c>
      <c r="G306">
        <v>530</v>
      </c>
      <c r="H306">
        <v>1</v>
      </c>
      <c r="Q306">
        <v>1</v>
      </c>
      <c r="Y306">
        <f t="shared" si="12"/>
        <v>1089.2</v>
      </c>
      <c r="Z306">
        <f t="shared" si="13"/>
        <v>185.79999999999995</v>
      </c>
      <c r="AA306" s="9">
        <f t="shared" si="14"/>
        <v>0.14572549019607839</v>
      </c>
    </row>
    <row r="307" spans="1:27" x14ac:dyDescent="0.25">
      <c r="A307" s="3">
        <v>44459</v>
      </c>
      <c r="B307" t="s">
        <v>31</v>
      </c>
      <c r="C307" t="s">
        <v>47</v>
      </c>
      <c r="D307" t="s">
        <v>314</v>
      </c>
      <c r="E307">
        <v>7067</v>
      </c>
      <c r="F307">
        <f>400+350+61+63+113</f>
        <v>987</v>
      </c>
      <c r="G307">
        <f>685+2801</f>
        <v>3486</v>
      </c>
      <c r="L307">
        <v>1</v>
      </c>
      <c r="M307">
        <v>1</v>
      </c>
      <c r="P307">
        <v>1</v>
      </c>
      <c r="Y307">
        <f t="shared" si="12"/>
        <v>6409.12</v>
      </c>
      <c r="Z307">
        <f t="shared" si="13"/>
        <v>657.88000000000011</v>
      </c>
      <c r="AA307" s="9">
        <f t="shared" si="14"/>
        <v>9.3091835290788183E-2</v>
      </c>
    </row>
    <row r="308" spans="1:27" x14ac:dyDescent="0.25">
      <c r="A308" s="3">
        <v>44456</v>
      </c>
      <c r="B308" t="s">
        <v>31</v>
      </c>
      <c r="C308" t="s">
        <v>311</v>
      </c>
      <c r="D308" t="s">
        <v>298</v>
      </c>
      <c r="E308">
        <v>4170</v>
      </c>
      <c r="F308">
        <f>362+181</f>
        <v>543</v>
      </c>
      <c r="G308">
        <f>660+770+385</f>
        <v>1815</v>
      </c>
      <c r="H308">
        <v>1</v>
      </c>
      <c r="Q308">
        <v>1</v>
      </c>
      <c r="R308">
        <v>1</v>
      </c>
      <c r="Y308">
        <f t="shared" si="12"/>
        <v>3496.5</v>
      </c>
      <c r="Z308">
        <f t="shared" si="13"/>
        <v>673.5</v>
      </c>
      <c r="AA308" s="9">
        <f t="shared" si="14"/>
        <v>0.16151079136690646</v>
      </c>
    </row>
    <row r="309" spans="1:27" x14ac:dyDescent="0.25">
      <c r="A309" s="3">
        <v>44452</v>
      </c>
      <c r="B309" t="s">
        <v>31</v>
      </c>
      <c r="C309" t="s">
        <v>34</v>
      </c>
      <c r="D309" t="s">
        <v>309</v>
      </c>
      <c r="E309">
        <v>5670</v>
      </c>
      <c r="F309">
        <v>405</v>
      </c>
      <c r="G309">
        <f>550+2400</f>
        <v>2950</v>
      </c>
      <c r="H309">
        <v>1</v>
      </c>
      <c r="P309">
        <v>1</v>
      </c>
      <c r="Q309">
        <v>1</v>
      </c>
      <c r="V309">
        <v>1</v>
      </c>
      <c r="Y309">
        <f t="shared" si="12"/>
        <v>4869.7</v>
      </c>
      <c r="Z309">
        <f t="shared" si="13"/>
        <v>800.30000000000018</v>
      </c>
      <c r="AA309" s="9">
        <f t="shared" si="14"/>
        <v>0.14114638447971783</v>
      </c>
    </row>
    <row r="310" spans="1:27" x14ac:dyDescent="0.25">
      <c r="A310" s="3">
        <v>44503</v>
      </c>
      <c r="B310" t="s">
        <v>31</v>
      </c>
      <c r="C310" t="s">
        <v>34</v>
      </c>
      <c r="D310" t="s">
        <v>359</v>
      </c>
      <c r="E310">
        <v>4770</v>
      </c>
      <c r="F310">
        <f>821+68</f>
        <v>889</v>
      </c>
      <c r="G310">
        <v>1600</v>
      </c>
      <c r="H310">
        <v>1</v>
      </c>
      <c r="Q310">
        <v>1</v>
      </c>
      <c r="R310">
        <v>1</v>
      </c>
      <c r="Y310">
        <f t="shared" si="12"/>
        <v>3818.1000000000004</v>
      </c>
      <c r="Z310">
        <f t="shared" si="13"/>
        <v>951.89999999999964</v>
      </c>
      <c r="AA310" s="9">
        <f t="shared" si="14"/>
        <v>0.19955974842767288</v>
      </c>
    </row>
    <row r="311" spans="1:27" x14ac:dyDescent="0.25">
      <c r="A311" s="3">
        <v>44503</v>
      </c>
      <c r="B311" t="s">
        <v>31</v>
      </c>
      <c r="C311" t="s">
        <v>47</v>
      </c>
      <c r="D311" t="s">
        <v>347</v>
      </c>
      <c r="E311">
        <v>2870</v>
      </c>
      <c r="F311">
        <v>320</v>
      </c>
      <c r="G311">
        <v>1060</v>
      </c>
      <c r="H311">
        <v>1</v>
      </c>
      <c r="Q311">
        <v>1</v>
      </c>
      <c r="S311">
        <v>1</v>
      </c>
      <c r="T311">
        <v>1</v>
      </c>
      <c r="Y311">
        <f t="shared" si="12"/>
        <v>2158.1999999999998</v>
      </c>
      <c r="Z311">
        <f t="shared" si="13"/>
        <v>711.80000000000018</v>
      </c>
      <c r="AA311" s="9">
        <f t="shared" si="14"/>
        <v>0.24801393728223003</v>
      </c>
    </row>
    <row r="312" spans="1:27" x14ac:dyDescent="0.25">
      <c r="A312" s="3">
        <v>44503</v>
      </c>
      <c r="B312" t="s">
        <v>31</v>
      </c>
      <c r="C312" t="s">
        <v>48</v>
      </c>
      <c r="D312" t="s">
        <v>289</v>
      </c>
      <c r="E312">
        <v>3900</v>
      </c>
      <c r="F312">
        <v>689</v>
      </c>
      <c r="G312">
        <v>1270</v>
      </c>
      <c r="H312">
        <v>1</v>
      </c>
      <c r="Q312">
        <v>1</v>
      </c>
      <c r="R312">
        <v>1</v>
      </c>
      <c r="Y312">
        <f t="shared" si="12"/>
        <v>3041.9</v>
      </c>
      <c r="Z312">
        <f t="shared" si="13"/>
        <v>858.09999999999991</v>
      </c>
      <c r="AA312" s="9">
        <f t="shared" si="14"/>
        <v>0.22002564102564101</v>
      </c>
    </row>
    <row r="313" spans="1:27" x14ac:dyDescent="0.25">
      <c r="A313" s="3">
        <v>44503</v>
      </c>
      <c r="B313" t="s">
        <v>30</v>
      </c>
      <c r="C313"/>
      <c r="D313" t="s">
        <v>354</v>
      </c>
      <c r="E313">
        <v>800</v>
      </c>
      <c r="F313">
        <v>189</v>
      </c>
      <c r="P313">
        <v>1</v>
      </c>
      <c r="Y313">
        <f t="shared" si="12"/>
        <v>415.9</v>
      </c>
      <c r="Z313">
        <f t="shared" si="13"/>
        <v>384.1</v>
      </c>
      <c r="AA313" s="9">
        <f t="shared" si="14"/>
        <v>0.48012500000000002</v>
      </c>
    </row>
    <row r="314" spans="1:27" x14ac:dyDescent="0.25">
      <c r="A314" s="3">
        <v>44508</v>
      </c>
      <c r="B314" t="s">
        <v>30</v>
      </c>
      <c r="C314" t="s">
        <v>47</v>
      </c>
      <c r="D314" t="s">
        <v>358</v>
      </c>
      <c r="E314">
        <v>2302</v>
      </c>
      <c r="F314">
        <f>320+44</f>
        <v>364</v>
      </c>
      <c r="G314">
        <f>220+630</f>
        <v>850</v>
      </c>
      <c r="H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Y314">
        <f t="shared" si="12"/>
        <v>1848.92</v>
      </c>
      <c r="Z314">
        <f t="shared" si="13"/>
        <v>453.07999999999993</v>
      </c>
      <c r="AA314" s="9">
        <f t="shared" si="14"/>
        <v>0.19682015638575148</v>
      </c>
    </row>
    <row r="315" spans="1:27" x14ac:dyDescent="0.25">
      <c r="A315" s="3">
        <v>44512</v>
      </c>
      <c r="B315" t="s">
        <v>102</v>
      </c>
      <c r="C315" t="s">
        <v>34</v>
      </c>
      <c r="D315" t="s">
        <v>351</v>
      </c>
      <c r="E315">
        <v>5735</v>
      </c>
      <c r="F315">
        <f>267+67+133</f>
        <v>467</v>
      </c>
      <c r="G315">
        <f>560+1271</f>
        <v>1831</v>
      </c>
      <c r="V315">
        <v>1</v>
      </c>
      <c r="Y315">
        <f t="shared" si="12"/>
        <v>3835.8</v>
      </c>
      <c r="Z315">
        <f t="shared" si="13"/>
        <v>1899.1999999999998</v>
      </c>
      <c r="AA315" s="9">
        <f t="shared" si="14"/>
        <v>0.33115954664341757</v>
      </c>
    </row>
    <row r="316" spans="1:27" x14ac:dyDescent="0.25">
      <c r="A316" s="3">
        <v>44515</v>
      </c>
      <c r="B316" t="s">
        <v>31</v>
      </c>
      <c r="C316" t="s">
        <v>47</v>
      </c>
      <c r="D316" t="s">
        <v>356</v>
      </c>
      <c r="E316">
        <v>5430</v>
      </c>
      <c r="F316">
        <f>279+178+51</f>
        <v>508</v>
      </c>
      <c r="G316">
        <f>695+765</f>
        <v>1460</v>
      </c>
      <c r="H316">
        <v>1</v>
      </c>
      <c r="R316">
        <v>1</v>
      </c>
      <c r="S316">
        <v>1</v>
      </c>
      <c r="V316">
        <v>1</v>
      </c>
      <c r="Y316">
        <f t="shared" si="12"/>
        <v>3430.6000000000004</v>
      </c>
      <c r="Z316">
        <f t="shared" si="13"/>
        <v>1999.3999999999996</v>
      </c>
      <c r="AA316" s="9">
        <f t="shared" si="14"/>
        <v>0.36821362799263346</v>
      </c>
    </row>
    <row r="317" spans="1:27" x14ac:dyDescent="0.25">
      <c r="A317" s="3">
        <v>44517</v>
      </c>
      <c r="B317" t="s">
        <v>31</v>
      </c>
      <c r="C317" t="s">
        <v>20</v>
      </c>
      <c r="D317" t="s">
        <v>360</v>
      </c>
      <c r="E317">
        <v>2295</v>
      </c>
      <c r="F317">
        <f>37+300</f>
        <v>337</v>
      </c>
      <c r="G317">
        <v>600</v>
      </c>
      <c r="H317">
        <v>1</v>
      </c>
      <c r="Q317">
        <v>1</v>
      </c>
      <c r="Y317">
        <f t="shared" si="12"/>
        <v>1567.4</v>
      </c>
      <c r="Z317">
        <f t="shared" si="13"/>
        <v>727.59999999999991</v>
      </c>
      <c r="AA317" s="9">
        <f t="shared" si="14"/>
        <v>0.31703703703703701</v>
      </c>
    </row>
    <row r="318" spans="1:27" x14ac:dyDescent="0.25">
      <c r="A318" s="3">
        <v>44522</v>
      </c>
      <c r="B318" t="s">
        <v>30</v>
      </c>
      <c r="C318" t="s">
        <v>47</v>
      </c>
      <c r="D318" t="s">
        <v>361</v>
      </c>
      <c r="E318">
        <v>2100</v>
      </c>
      <c r="F318">
        <f>205+26</f>
        <v>231</v>
      </c>
      <c r="G318">
        <f>330+465</f>
        <v>795</v>
      </c>
      <c r="H318">
        <v>1</v>
      </c>
      <c r="Q318">
        <v>1</v>
      </c>
      <c r="Y318">
        <f t="shared" si="12"/>
        <v>1595.1</v>
      </c>
      <c r="Z318">
        <f t="shared" si="13"/>
        <v>504.90000000000009</v>
      </c>
      <c r="AA318" s="9">
        <f t="shared" si="14"/>
        <v>0.24042857142857146</v>
      </c>
    </row>
    <row r="319" spans="1:27" x14ac:dyDescent="0.25">
      <c r="A319" s="3">
        <v>44517</v>
      </c>
      <c r="B319" t="s">
        <v>31</v>
      </c>
      <c r="C319" t="s">
        <v>48</v>
      </c>
      <c r="D319" t="s">
        <v>357</v>
      </c>
      <c r="E319">
        <v>3900</v>
      </c>
      <c r="F319">
        <f>269+129+245+134</f>
        <v>777</v>
      </c>
      <c r="G319">
        <f>1540+343</f>
        <v>1883</v>
      </c>
      <c r="H319">
        <v>1</v>
      </c>
      <c r="Y319">
        <f t="shared" si="12"/>
        <v>3751.7</v>
      </c>
      <c r="Z319">
        <f t="shared" si="13"/>
        <v>148.30000000000018</v>
      </c>
      <c r="AA319" s="9">
        <f t="shared" si="14"/>
        <v>3.8025641025641072E-2</v>
      </c>
    </row>
    <row r="320" spans="1:27" x14ac:dyDescent="0.25">
      <c r="A320" s="3">
        <v>44524</v>
      </c>
      <c r="B320" t="s">
        <v>30</v>
      </c>
      <c r="C320" t="s">
        <v>34</v>
      </c>
      <c r="D320" t="s">
        <v>240</v>
      </c>
      <c r="E320">
        <v>3059</v>
      </c>
      <c r="F320">
        <v>39</v>
      </c>
      <c r="G320">
        <f>410+802</f>
        <v>1212</v>
      </c>
      <c r="H320">
        <v>1</v>
      </c>
      <c r="Q320">
        <v>1</v>
      </c>
      <c r="R320">
        <v>1</v>
      </c>
      <c r="S320">
        <v>1</v>
      </c>
      <c r="T320">
        <v>1</v>
      </c>
      <c r="Y320">
        <f t="shared" si="12"/>
        <v>2050.2400000000002</v>
      </c>
      <c r="Z320">
        <f t="shared" si="13"/>
        <v>1008.7599999999998</v>
      </c>
      <c r="AA320" s="9">
        <f t="shared" si="14"/>
        <v>0.32976789800588419</v>
      </c>
    </row>
    <row r="321" spans="1:28" x14ac:dyDescent="0.25">
      <c r="A321" s="3">
        <v>44524</v>
      </c>
      <c r="B321" t="s">
        <v>30</v>
      </c>
      <c r="C321" t="s">
        <v>48</v>
      </c>
      <c r="D321" t="s">
        <v>362</v>
      </c>
      <c r="E321">
        <v>1000</v>
      </c>
      <c r="F321">
        <f>245+74+41</f>
        <v>360</v>
      </c>
      <c r="G321">
        <v>565</v>
      </c>
      <c r="H321">
        <v>1</v>
      </c>
      <c r="Q321">
        <v>1</v>
      </c>
      <c r="R321">
        <v>1</v>
      </c>
      <c r="S321">
        <v>1</v>
      </c>
      <c r="Y321">
        <f t="shared" si="12"/>
        <v>1221</v>
      </c>
      <c r="Z321">
        <f t="shared" si="13"/>
        <v>-221</v>
      </c>
      <c r="AA321" s="9">
        <f t="shared" si="14"/>
        <v>-0.221</v>
      </c>
    </row>
    <row r="322" spans="1:28" x14ac:dyDescent="0.25">
      <c r="A322" s="3">
        <v>44531</v>
      </c>
      <c r="B322" t="s">
        <v>30</v>
      </c>
      <c r="C322" t="s">
        <v>34</v>
      </c>
      <c r="D322" t="s">
        <v>372</v>
      </c>
      <c r="E322">
        <v>1350</v>
      </c>
      <c r="F322">
        <v>372</v>
      </c>
      <c r="G322">
        <f>487+131</f>
        <v>618</v>
      </c>
      <c r="H322">
        <v>1</v>
      </c>
      <c r="M322">
        <v>1</v>
      </c>
      <c r="R322">
        <v>1</v>
      </c>
      <c r="T322">
        <v>1</v>
      </c>
      <c r="Y322">
        <f t="shared" si="12"/>
        <v>1378.2</v>
      </c>
      <c r="Z322">
        <f t="shared" si="13"/>
        <v>-28.200000000000045</v>
      </c>
      <c r="AA322" s="9">
        <f t="shared" si="14"/>
        <v>-2.0888888888888922E-2</v>
      </c>
    </row>
    <row r="323" spans="1:28" x14ac:dyDescent="0.25">
      <c r="A323" s="3">
        <v>44529</v>
      </c>
      <c r="B323" t="s">
        <v>30</v>
      </c>
      <c r="C323" t="s">
        <v>34</v>
      </c>
      <c r="D323" t="s">
        <v>371</v>
      </c>
      <c r="E323">
        <v>1100</v>
      </c>
      <c r="F323">
        <v>266</v>
      </c>
      <c r="G323">
        <f>585+49</f>
        <v>634</v>
      </c>
      <c r="H323">
        <v>1</v>
      </c>
      <c r="Q323">
        <v>1</v>
      </c>
      <c r="R323">
        <v>1</v>
      </c>
      <c r="V323">
        <v>1</v>
      </c>
      <c r="Y323">
        <f t="shared" ref="Y323:Y387" si="15">G323+F323*1.1+E323*0.26</f>
        <v>1212.5999999999999</v>
      </c>
      <c r="Z323">
        <f t="shared" ref="Z323:Z387" si="16">E323-Y323</f>
        <v>-112.59999999999991</v>
      </c>
      <c r="AA323" s="9">
        <f t="shared" ref="AA323:AA387" si="17">Z323/E323</f>
        <v>-0.10236363636363628</v>
      </c>
    </row>
    <row r="324" spans="1:28" x14ac:dyDescent="0.25">
      <c r="A324" s="3">
        <v>44530</v>
      </c>
      <c r="B324" t="s">
        <v>30</v>
      </c>
      <c r="C324" t="s">
        <v>48</v>
      </c>
      <c r="D324" t="s">
        <v>366</v>
      </c>
      <c r="E324">
        <v>2350</v>
      </c>
      <c r="F324">
        <v>275</v>
      </c>
      <c r="G324">
        <f>370+320</f>
        <v>690</v>
      </c>
      <c r="H324">
        <v>1</v>
      </c>
      <c r="Q324">
        <v>1</v>
      </c>
      <c r="R324">
        <v>1</v>
      </c>
      <c r="Y324">
        <f t="shared" si="15"/>
        <v>1603.5</v>
      </c>
      <c r="Z324">
        <f t="shared" si="16"/>
        <v>746.5</v>
      </c>
      <c r="AA324" s="9">
        <f t="shared" si="17"/>
        <v>0.31765957446808513</v>
      </c>
    </row>
    <row r="325" spans="1:28" x14ac:dyDescent="0.25">
      <c r="A325" s="3">
        <v>44531</v>
      </c>
      <c r="B325" t="s">
        <v>102</v>
      </c>
      <c r="C325" t="s">
        <v>48</v>
      </c>
      <c r="D325" t="s">
        <v>364</v>
      </c>
      <c r="E325">
        <v>3595</v>
      </c>
      <c r="F325">
        <f>116+34+379</f>
        <v>529</v>
      </c>
      <c r="G325">
        <v>1249</v>
      </c>
      <c r="H325">
        <v>1</v>
      </c>
      <c r="Q325">
        <v>1</v>
      </c>
      <c r="R325">
        <v>1</v>
      </c>
      <c r="S325">
        <v>1</v>
      </c>
      <c r="T325">
        <v>1</v>
      </c>
      <c r="Y325">
        <f t="shared" si="15"/>
        <v>2765.6000000000004</v>
      </c>
      <c r="Z325">
        <f t="shared" si="16"/>
        <v>829.39999999999964</v>
      </c>
      <c r="AA325" s="9">
        <f t="shared" si="17"/>
        <v>0.23070931849791368</v>
      </c>
    </row>
    <row r="326" spans="1:28" x14ac:dyDescent="0.25">
      <c r="A326" s="3">
        <v>44533</v>
      </c>
      <c r="B326" t="s">
        <v>102</v>
      </c>
      <c r="C326" t="s">
        <v>47</v>
      </c>
      <c r="D326" t="s">
        <v>367</v>
      </c>
      <c r="E326">
        <v>3714</v>
      </c>
      <c r="F326">
        <v>519</v>
      </c>
      <c r="G326">
        <v>1554</v>
      </c>
      <c r="H326">
        <v>1</v>
      </c>
      <c r="Q326">
        <v>1</v>
      </c>
      <c r="R326">
        <v>1</v>
      </c>
      <c r="S326">
        <v>1</v>
      </c>
      <c r="T326">
        <v>1</v>
      </c>
      <c r="Y326">
        <f t="shared" si="15"/>
        <v>3090.54</v>
      </c>
      <c r="Z326">
        <f t="shared" si="16"/>
        <v>623.46</v>
      </c>
      <c r="AA326" s="9">
        <f t="shared" si="17"/>
        <v>0.1678675282714055</v>
      </c>
    </row>
    <row r="327" spans="1:28" x14ac:dyDescent="0.25">
      <c r="A327" s="3">
        <v>44533</v>
      </c>
      <c r="B327" t="s">
        <v>30</v>
      </c>
      <c r="C327" t="s">
        <v>47</v>
      </c>
      <c r="D327" t="s">
        <v>363</v>
      </c>
      <c r="E327">
        <v>2909</v>
      </c>
      <c r="F327">
        <f>38+189+147+38</f>
        <v>412</v>
      </c>
      <c r="G327">
        <f>405+399</f>
        <v>804</v>
      </c>
      <c r="V327">
        <v>1</v>
      </c>
      <c r="Y327">
        <f t="shared" si="15"/>
        <v>2013.54</v>
      </c>
      <c r="Z327">
        <f t="shared" si="16"/>
        <v>895.46</v>
      </c>
      <c r="AA327" s="9">
        <f t="shared" si="17"/>
        <v>0.30782399449982811</v>
      </c>
    </row>
    <row r="328" spans="1:28" x14ac:dyDescent="0.25">
      <c r="A328" s="3">
        <v>44530</v>
      </c>
      <c r="B328" t="s">
        <v>30</v>
      </c>
      <c r="C328" t="s">
        <v>34</v>
      </c>
      <c r="D328" t="s">
        <v>365</v>
      </c>
      <c r="E328">
        <v>325</v>
      </c>
      <c r="F328">
        <v>77</v>
      </c>
      <c r="G328">
        <v>420</v>
      </c>
      <c r="R328">
        <v>1</v>
      </c>
      <c r="Y328">
        <f t="shared" si="15"/>
        <v>589.20000000000005</v>
      </c>
      <c r="Z328">
        <f t="shared" si="16"/>
        <v>-264.20000000000005</v>
      </c>
      <c r="AA328" s="9">
        <f t="shared" si="17"/>
        <v>-0.81292307692307708</v>
      </c>
    </row>
    <row r="329" spans="1:28" x14ac:dyDescent="0.25">
      <c r="A329" s="3">
        <v>44537</v>
      </c>
      <c r="B329" t="s">
        <v>102</v>
      </c>
      <c r="C329" t="s">
        <v>48</v>
      </c>
      <c r="D329" t="s">
        <v>375</v>
      </c>
      <c r="E329">
        <v>1797</v>
      </c>
      <c r="F329">
        <f>160+20+47</f>
        <v>227</v>
      </c>
      <c r="G329">
        <f>371+391</f>
        <v>762</v>
      </c>
      <c r="H329">
        <v>1</v>
      </c>
      <c r="Q329">
        <v>1</v>
      </c>
      <c r="R329">
        <v>1</v>
      </c>
      <c r="Y329">
        <f t="shared" si="15"/>
        <v>1478.92</v>
      </c>
      <c r="Z329">
        <f t="shared" si="16"/>
        <v>318.07999999999993</v>
      </c>
      <c r="AA329" s="9">
        <f t="shared" si="17"/>
        <v>0.1770061213132999</v>
      </c>
    </row>
    <row r="330" spans="1:28" x14ac:dyDescent="0.25">
      <c r="A330" s="3">
        <v>44537</v>
      </c>
      <c r="B330" t="s">
        <v>102</v>
      </c>
      <c r="C330" t="s">
        <v>34</v>
      </c>
      <c r="D330" t="s">
        <v>377</v>
      </c>
      <c r="E330">
        <v>1705</v>
      </c>
      <c r="F330">
        <v>180</v>
      </c>
      <c r="G330">
        <v>662</v>
      </c>
      <c r="H330">
        <v>1</v>
      </c>
      <c r="R330">
        <v>1</v>
      </c>
      <c r="T330">
        <v>1</v>
      </c>
      <c r="Y330">
        <f t="shared" si="15"/>
        <v>1303.3</v>
      </c>
      <c r="Z330">
        <f t="shared" si="16"/>
        <v>401.70000000000005</v>
      </c>
      <c r="AA330" s="9">
        <f t="shared" si="17"/>
        <v>0.23560117302052788</v>
      </c>
      <c r="AB330">
        <v>1</v>
      </c>
    </row>
    <row r="331" spans="1:28" x14ac:dyDescent="0.25">
      <c r="A331" s="3">
        <v>44538</v>
      </c>
      <c r="B331" t="s">
        <v>102</v>
      </c>
      <c r="C331" t="s">
        <v>47</v>
      </c>
      <c r="D331" t="s">
        <v>376</v>
      </c>
      <c r="E331">
        <v>7547</v>
      </c>
      <c r="F331">
        <f>550+366+183</f>
        <v>1099</v>
      </c>
      <c r="G331">
        <f>546+2994</f>
        <v>3540</v>
      </c>
      <c r="H331">
        <v>1</v>
      </c>
      <c r="Q331">
        <v>1</v>
      </c>
      <c r="R331">
        <v>1</v>
      </c>
      <c r="Y331">
        <f t="shared" si="15"/>
        <v>6711.12</v>
      </c>
      <c r="Z331">
        <f t="shared" si="16"/>
        <v>835.88000000000011</v>
      </c>
      <c r="AA331" s="9">
        <f t="shared" si="17"/>
        <v>0.11075659202332054</v>
      </c>
    </row>
    <row r="332" spans="1:28" x14ac:dyDescent="0.25">
      <c r="A332" s="3">
        <v>44540</v>
      </c>
      <c r="B332" t="s">
        <v>102</v>
      </c>
      <c r="C332" t="s">
        <v>34</v>
      </c>
      <c r="D332" t="s">
        <v>370</v>
      </c>
      <c r="E332">
        <v>3866</v>
      </c>
      <c r="F332">
        <f>290+116</f>
        <v>406</v>
      </c>
      <c r="G332">
        <f>529+593</f>
        <v>1122</v>
      </c>
      <c r="H332">
        <v>1</v>
      </c>
      <c r="V332">
        <v>1</v>
      </c>
      <c r="Y332">
        <f t="shared" si="15"/>
        <v>2573.7600000000002</v>
      </c>
      <c r="Z332">
        <f t="shared" si="16"/>
        <v>1292.2399999999998</v>
      </c>
      <c r="AA332" s="9">
        <f t="shared" si="17"/>
        <v>0.33425763062596991</v>
      </c>
    </row>
    <row r="333" spans="1:28" x14ac:dyDescent="0.25">
      <c r="A333" s="3">
        <v>44540</v>
      </c>
      <c r="B333" t="s">
        <v>30</v>
      </c>
      <c r="C333" t="s">
        <v>48</v>
      </c>
      <c r="D333" t="s">
        <v>379</v>
      </c>
      <c r="E333">
        <v>2450</v>
      </c>
      <c r="F333">
        <v>120</v>
      </c>
      <c r="G333">
        <v>718</v>
      </c>
      <c r="H333">
        <v>1</v>
      </c>
      <c r="Q333">
        <v>1</v>
      </c>
      <c r="Y333">
        <f t="shared" si="15"/>
        <v>1487</v>
      </c>
      <c r="Z333">
        <f t="shared" si="16"/>
        <v>963</v>
      </c>
      <c r="AA333" s="9">
        <f t="shared" si="17"/>
        <v>0.39306122448979591</v>
      </c>
    </row>
    <row r="334" spans="1:28" x14ac:dyDescent="0.25">
      <c r="A334" s="3">
        <v>44544</v>
      </c>
      <c r="B334" t="s">
        <v>102</v>
      </c>
      <c r="C334" t="s">
        <v>48</v>
      </c>
      <c r="D334" t="s">
        <v>373</v>
      </c>
      <c r="E334">
        <v>1400</v>
      </c>
      <c r="F334">
        <v>221</v>
      </c>
      <c r="G334">
        <v>277</v>
      </c>
      <c r="H334">
        <v>1</v>
      </c>
      <c r="Q334">
        <v>1</v>
      </c>
      <c r="Y334">
        <f t="shared" si="15"/>
        <v>884.1</v>
      </c>
      <c r="Z334">
        <f t="shared" si="16"/>
        <v>515.9</v>
      </c>
      <c r="AA334" s="9">
        <f t="shared" si="17"/>
        <v>0.36849999999999999</v>
      </c>
    </row>
    <row r="335" spans="1:28" x14ac:dyDescent="0.25">
      <c r="A335" s="3">
        <v>44546</v>
      </c>
      <c r="B335" t="s">
        <v>102</v>
      </c>
      <c r="C335" t="s">
        <v>47</v>
      </c>
      <c r="D335" t="s">
        <v>383</v>
      </c>
      <c r="E335">
        <v>3950</v>
      </c>
      <c r="F335">
        <f>488+113</f>
        <v>601</v>
      </c>
      <c r="G335">
        <f>433+1119</f>
        <v>1552</v>
      </c>
      <c r="H335">
        <v>1</v>
      </c>
      <c r="Q335">
        <v>1</v>
      </c>
      <c r="R335">
        <v>1</v>
      </c>
      <c r="S335">
        <v>1</v>
      </c>
      <c r="T335">
        <v>1</v>
      </c>
      <c r="Y335">
        <f t="shared" si="15"/>
        <v>3240.1</v>
      </c>
      <c r="Z335">
        <f t="shared" si="16"/>
        <v>709.90000000000009</v>
      </c>
      <c r="AA335" s="9">
        <f t="shared" si="17"/>
        <v>0.17972151898734179</v>
      </c>
    </row>
    <row r="336" spans="1:28" x14ac:dyDescent="0.25">
      <c r="A336" s="3">
        <v>44552</v>
      </c>
      <c r="B336" t="s">
        <v>30</v>
      </c>
      <c r="C336" t="s">
        <v>48</v>
      </c>
      <c r="D336" t="s">
        <v>369</v>
      </c>
      <c r="E336">
        <v>3300</v>
      </c>
      <c r="F336">
        <v>232</v>
      </c>
      <c r="G336">
        <v>746</v>
      </c>
      <c r="V336">
        <v>1</v>
      </c>
      <c r="Y336">
        <f t="shared" si="15"/>
        <v>1859.2</v>
      </c>
      <c r="Z336">
        <f t="shared" si="16"/>
        <v>1440.8</v>
      </c>
      <c r="AA336" s="9">
        <f t="shared" si="17"/>
        <v>0.43660606060606061</v>
      </c>
      <c r="AB336">
        <v>1</v>
      </c>
    </row>
    <row r="337" spans="1:28" x14ac:dyDescent="0.25">
      <c r="A337" s="3">
        <v>44547</v>
      </c>
      <c r="B337" t="s">
        <v>102</v>
      </c>
      <c r="C337" t="s">
        <v>48</v>
      </c>
      <c r="D337" t="s">
        <v>378</v>
      </c>
      <c r="E337">
        <v>1550</v>
      </c>
      <c r="F337">
        <f>89+33</f>
        <v>122</v>
      </c>
      <c r="G337">
        <f>301+155</f>
        <v>456</v>
      </c>
      <c r="H337">
        <v>1</v>
      </c>
      <c r="R337">
        <v>1</v>
      </c>
      <c r="V337">
        <v>1</v>
      </c>
      <c r="Y337">
        <f t="shared" si="15"/>
        <v>993.2</v>
      </c>
      <c r="Z337">
        <f t="shared" si="16"/>
        <v>556.79999999999995</v>
      </c>
      <c r="AA337" s="9">
        <f t="shared" si="17"/>
        <v>0.35922580645161289</v>
      </c>
      <c r="AB337">
        <v>1</v>
      </c>
    </row>
    <row r="338" spans="1:28" x14ac:dyDescent="0.25">
      <c r="A338" s="3">
        <v>44547</v>
      </c>
      <c r="B338" t="s">
        <v>30</v>
      </c>
      <c r="C338" t="s">
        <v>34</v>
      </c>
      <c r="D338" t="s">
        <v>380</v>
      </c>
      <c r="E338">
        <v>6025</v>
      </c>
      <c r="F338">
        <f>446+168</f>
        <v>614</v>
      </c>
      <c r="G338">
        <f>574+2080</f>
        <v>2654</v>
      </c>
      <c r="H338">
        <v>1</v>
      </c>
      <c r="Q338">
        <v>1</v>
      </c>
      <c r="R338">
        <v>1</v>
      </c>
      <c r="Y338">
        <f t="shared" si="15"/>
        <v>4895.8999999999996</v>
      </c>
      <c r="Z338">
        <f t="shared" si="16"/>
        <v>1129.1000000000004</v>
      </c>
      <c r="AA338" s="9">
        <f t="shared" si="17"/>
        <v>0.18740248962655609</v>
      </c>
    </row>
    <row r="339" spans="1:28" x14ac:dyDescent="0.25">
      <c r="A339" s="3">
        <v>44544</v>
      </c>
      <c r="B339" t="s">
        <v>30</v>
      </c>
      <c r="C339"/>
      <c r="D339" t="s">
        <v>368</v>
      </c>
      <c r="E339">
        <v>232</v>
      </c>
      <c r="F339">
        <v>45</v>
      </c>
      <c r="G339">
        <v>100</v>
      </c>
      <c r="Y339">
        <f t="shared" si="15"/>
        <v>209.82</v>
      </c>
      <c r="Z339">
        <f t="shared" si="16"/>
        <v>22.180000000000007</v>
      </c>
      <c r="AA339" s="9">
        <f t="shared" si="17"/>
        <v>9.5603448275862105E-2</v>
      </c>
    </row>
    <row r="340" spans="1:28" x14ac:dyDescent="0.25">
      <c r="A340" s="3">
        <v>44552</v>
      </c>
      <c r="B340" t="s">
        <v>30</v>
      </c>
      <c r="C340" t="s">
        <v>30</v>
      </c>
      <c r="D340" t="s">
        <v>381</v>
      </c>
      <c r="E340">
        <v>1000</v>
      </c>
      <c r="F340">
        <v>178</v>
      </c>
      <c r="G340">
        <v>100</v>
      </c>
      <c r="O340">
        <v>1</v>
      </c>
      <c r="Y340">
        <f t="shared" si="15"/>
        <v>555.79999999999995</v>
      </c>
      <c r="Z340">
        <f t="shared" si="16"/>
        <v>444.20000000000005</v>
      </c>
      <c r="AA340" s="9">
        <f t="shared" si="17"/>
        <v>0.44420000000000004</v>
      </c>
    </row>
    <row r="341" spans="1:28" x14ac:dyDescent="0.25">
      <c r="A341" s="3">
        <v>44553</v>
      </c>
      <c r="B341" t="s">
        <v>102</v>
      </c>
      <c r="C341" t="s">
        <v>48</v>
      </c>
      <c r="D341" t="s">
        <v>382</v>
      </c>
      <c r="E341">
        <v>7338</v>
      </c>
      <c r="F341">
        <f>560+164+140</f>
        <v>864</v>
      </c>
      <c r="G341">
        <f>333+2456+173</f>
        <v>2962</v>
      </c>
      <c r="H341">
        <v>1</v>
      </c>
      <c r="Q341">
        <v>1</v>
      </c>
      <c r="R341">
        <v>1</v>
      </c>
      <c r="S341">
        <v>1</v>
      </c>
      <c r="T341">
        <v>1</v>
      </c>
      <c r="V341">
        <v>1</v>
      </c>
      <c r="Y341">
        <f t="shared" si="15"/>
        <v>5820.2800000000007</v>
      </c>
      <c r="Z341">
        <f t="shared" si="16"/>
        <v>1517.7199999999993</v>
      </c>
      <c r="AA341" s="9">
        <f t="shared" si="17"/>
        <v>0.20683019896429536</v>
      </c>
    </row>
    <row r="342" spans="1:28" x14ac:dyDescent="0.25">
      <c r="A342" s="3">
        <v>44560</v>
      </c>
      <c r="B342" t="s">
        <v>31</v>
      </c>
      <c r="C342" t="s">
        <v>47</v>
      </c>
      <c r="D342" t="s">
        <v>329</v>
      </c>
      <c r="E342">
        <v>7108</v>
      </c>
      <c r="F342">
        <f>493+26</f>
        <v>519</v>
      </c>
      <c r="G342">
        <f>150+820+107+735+330+385+345+265</f>
        <v>3137</v>
      </c>
      <c r="H342">
        <v>1</v>
      </c>
      <c r="Q342">
        <v>1</v>
      </c>
      <c r="R342">
        <v>1</v>
      </c>
      <c r="T342">
        <v>1</v>
      </c>
      <c r="V342">
        <v>1</v>
      </c>
      <c r="Y342">
        <f t="shared" si="15"/>
        <v>5555.9800000000005</v>
      </c>
      <c r="Z342">
        <f t="shared" si="16"/>
        <v>1552.0199999999995</v>
      </c>
      <c r="AA342" s="9">
        <f t="shared" si="17"/>
        <v>0.21834833989870561</v>
      </c>
    </row>
    <row r="343" spans="1:28" x14ac:dyDescent="0.25">
      <c r="A343" s="3">
        <v>44560</v>
      </c>
      <c r="B343" t="s">
        <v>31</v>
      </c>
      <c r="C343" t="s">
        <v>47</v>
      </c>
      <c r="D343" t="s">
        <v>384</v>
      </c>
      <c r="E343">
        <v>2847</v>
      </c>
      <c r="F343">
        <f>73+253</f>
        <v>326</v>
      </c>
      <c r="G343">
        <f>235+535</f>
        <v>770</v>
      </c>
      <c r="H343">
        <v>1</v>
      </c>
      <c r="Q343">
        <v>1</v>
      </c>
      <c r="R343">
        <v>1</v>
      </c>
      <c r="Y343">
        <f t="shared" si="15"/>
        <v>1868.82</v>
      </c>
      <c r="Z343">
        <f t="shared" si="16"/>
        <v>978.18000000000006</v>
      </c>
      <c r="AA343" s="9">
        <f t="shared" si="17"/>
        <v>0.34358271865121182</v>
      </c>
    </row>
    <row r="344" spans="1:28" x14ac:dyDescent="0.25">
      <c r="A344" s="3">
        <v>44560</v>
      </c>
      <c r="B344" t="s">
        <v>102</v>
      </c>
      <c r="C344" t="s">
        <v>47</v>
      </c>
      <c r="D344" t="s">
        <v>385</v>
      </c>
      <c r="E344">
        <v>3850</v>
      </c>
      <c r="F344">
        <f>396+38</f>
        <v>434</v>
      </c>
      <c r="G344">
        <f>546+947</f>
        <v>1493</v>
      </c>
      <c r="H344">
        <v>1</v>
      </c>
      <c r="Q344">
        <v>1</v>
      </c>
      <c r="R344">
        <v>1</v>
      </c>
      <c r="S344">
        <v>1</v>
      </c>
      <c r="T344">
        <v>1</v>
      </c>
      <c r="V344">
        <v>1</v>
      </c>
      <c r="Y344">
        <f t="shared" si="15"/>
        <v>2971.4</v>
      </c>
      <c r="Z344">
        <f t="shared" si="16"/>
        <v>878.59999999999991</v>
      </c>
      <c r="AA344" s="9">
        <f t="shared" si="17"/>
        <v>0.22820779220779219</v>
      </c>
    </row>
    <row r="345" spans="1:28" x14ac:dyDescent="0.25">
      <c r="A345" s="3">
        <v>44567</v>
      </c>
      <c r="B345" t="s">
        <v>30</v>
      </c>
      <c r="C345" t="s">
        <v>48</v>
      </c>
      <c r="D345" t="s">
        <v>387</v>
      </c>
      <c r="E345">
        <v>7800</v>
      </c>
      <c r="F345">
        <f>706+113+38+38</f>
        <v>895</v>
      </c>
      <c r="G345">
        <f>396+2056</f>
        <v>2452</v>
      </c>
      <c r="H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Y345">
        <f t="shared" si="15"/>
        <v>5464.5</v>
      </c>
      <c r="Z345">
        <f t="shared" si="16"/>
        <v>2335.5</v>
      </c>
      <c r="AA345" s="9">
        <f t="shared" si="17"/>
        <v>0.2994230769230769</v>
      </c>
    </row>
    <row r="346" spans="1:28" x14ac:dyDescent="0.25">
      <c r="A346" s="3">
        <v>44568</v>
      </c>
      <c r="B346" t="s">
        <v>30</v>
      </c>
      <c r="C346" t="s">
        <v>34</v>
      </c>
      <c r="D346" t="s">
        <v>386</v>
      </c>
      <c r="E346">
        <v>2700</v>
      </c>
      <c r="F346">
        <v>223</v>
      </c>
      <c r="G346">
        <f>349+409</f>
        <v>758</v>
      </c>
      <c r="H346">
        <v>1</v>
      </c>
      <c r="V346">
        <v>1</v>
      </c>
      <c r="Y346">
        <f t="shared" si="15"/>
        <v>1705.3</v>
      </c>
      <c r="Z346">
        <f t="shared" si="16"/>
        <v>994.7</v>
      </c>
      <c r="AA346" s="9">
        <f t="shared" si="17"/>
        <v>0.36840740740740741</v>
      </c>
    </row>
    <row r="347" spans="1:28" x14ac:dyDescent="0.25">
      <c r="A347" s="3">
        <v>44568</v>
      </c>
      <c r="B347" t="s">
        <v>30</v>
      </c>
      <c r="C347" t="s">
        <v>48</v>
      </c>
      <c r="D347" t="s">
        <v>394</v>
      </c>
      <c r="E347">
        <v>720</v>
      </c>
      <c r="G347">
        <v>346</v>
      </c>
      <c r="H347">
        <v>1</v>
      </c>
      <c r="Q347">
        <v>1</v>
      </c>
      <c r="Y347">
        <f t="shared" si="15"/>
        <v>533.20000000000005</v>
      </c>
      <c r="Z347">
        <f t="shared" si="16"/>
        <v>186.79999999999995</v>
      </c>
      <c r="AA347" s="9">
        <f t="shared" si="17"/>
        <v>0.25944444444444437</v>
      </c>
    </row>
    <row r="348" spans="1:28" x14ac:dyDescent="0.25">
      <c r="A348" s="3">
        <v>44575</v>
      </c>
      <c r="B348" t="s">
        <v>30</v>
      </c>
      <c r="C348" t="s">
        <v>48</v>
      </c>
      <c r="D348" t="s">
        <v>392</v>
      </c>
      <c r="E348">
        <v>950</v>
      </c>
      <c r="F348">
        <v>198</v>
      </c>
      <c r="G348">
        <v>420</v>
      </c>
      <c r="H348">
        <v>1</v>
      </c>
      <c r="Q348">
        <v>1</v>
      </c>
      <c r="Y348">
        <f t="shared" si="15"/>
        <v>884.8</v>
      </c>
      <c r="Z348">
        <f t="shared" si="16"/>
        <v>65.200000000000045</v>
      </c>
      <c r="AA348" s="9">
        <f t="shared" si="17"/>
        <v>6.8631578947368474E-2</v>
      </c>
    </row>
    <row r="349" spans="1:28" x14ac:dyDescent="0.25">
      <c r="A349" s="3">
        <v>44568</v>
      </c>
      <c r="B349" t="s">
        <v>30</v>
      </c>
      <c r="C349" t="s">
        <v>34</v>
      </c>
      <c r="D349" t="s">
        <v>388</v>
      </c>
      <c r="E349">
        <v>1461</v>
      </c>
      <c r="F349">
        <f>164+345</f>
        <v>509</v>
      </c>
      <c r="G349">
        <v>762</v>
      </c>
      <c r="H349">
        <v>1</v>
      </c>
      <c r="Q349">
        <v>1</v>
      </c>
      <c r="R349">
        <v>1</v>
      </c>
      <c r="Y349">
        <f t="shared" si="15"/>
        <v>1701.7600000000002</v>
      </c>
      <c r="Z349">
        <f t="shared" si="16"/>
        <v>-240.76000000000022</v>
      </c>
      <c r="AA349" s="9">
        <f t="shared" si="17"/>
        <v>-0.16479123887748132</v>
      </c>
    </row>
    <row r="350" spans="1:28" x14ac:dyDescent="0.25">
      <c r="A350" s="3">
        <v>44575</v>
      </c>
      <c r="B350" t="s">
        <v>30</v>
      </c>
      <c r="C350" t="s">
        <v>48</v>
      </c>
      <c r="D350" t="s">
        <v>389</v>
      </c>
      <c r="E350">
        <f>2400+3941</f>
        <v>6341</v>
      </c>
      <c r="F350">
        <f>554+209</f>
        <v>763</v>
      </c>
      <c r="G350">
        <f>730+1145</f>
        <v>1875</v>
      </c>
      <c r="H350">
        <v>1</v>
      </c>
      <c r="Q350">
        <v>1</v>
      </c>
      <c r="R350">
        <v>1</v>
      </c>
      <c r="V350">
        <v>1</v>
      </c>
      <c r="Y350">
        <f t="shared" si="15"/>
        <v>4362.96</v>
      </c>
      <c r="Z350">
        <f t="shared" si="16"/>
        <v>1978.04</v>
      </c>
      <c r="AA350" s="9">
        <f t="shared" si="17"/>
        <v>0.31194448825106452</v>
      </c>
    </row>
    <row r="351" spans="1:28" x14ac:dyDescent="0.25">
      <c r="A351" s="3">
        <v>44582</v>
      </c>
      <c r="B351" t="s">
        <v>30</v>
      </c>
      <c r="C351" t="s">
        <v>34</v>
      </c>
      <c r="D351" t="s">
        <v>393</v>
      </c>
      <c r="E351">
        <v>22362</v>
      </c>
      <c r="F351">
        <f>183+75+1067</f>
        <v>1325</v>
      </c>
      <c r="G351">
        <f>565+3700+2640+165</f>
        <v>7070</v>
      </c>
      <c r="H351">
        <v>1</v>
      </c>
      <c r="Q351">
        <v>1</v>
      </c>
      <c r="R351">
        <v>1</v>
      </c>
      <c r="Y351">
        <f t="shared" si="15"/>
        <v>14341.619999999999</v>
      </c>
      <c r="Z351">
        <f t="shared" si="16"/>
        <v>8020.380000000001</v>
      </c>
      <c r="AA351" s="9">
        <f t="shared" si="17"/>
        <v>0.35866112154547897</v>
      </c>
      <c r="AB351">
        <v>1</v>
      </c>
    </row>
    <row r="352" spans="1:28" x14ac:dyDescent="0.25">
      <c r="A352" s="3">
        <v>44582</v>
      </c>
      <c r="B352" t="s">
        <v>102</v>
      </c>
      <c r="C352" t="s">
        <v>47</v>
      </c>
      <c r="D352" t="s">
        <v>390</v>
      </c>
      <c r="E352">
        <v>3600</v>
      </c>
      <c r="F352">
        <v>281</v>
      </c>
      <c r="G352">
        <f>370+370</f>
        <v>740</v>
      </c>
      <c r="H352">
        <v>1</v>
      </c>
      <c r="Q352">
        <v>1</v>
      </c>
      <c r="V352">
        <v>1</v>
      </c>
      <c r="Y352">
        <f t="shared" si="15"/>
        <v>1985.1</v>
      </c>
      <c r="Z352">
        <f t="shared" si="16"/>
        <v>1614.9</v>
      </c>
      <c r="AA352" s="9">
        <f t="shared" si="17"/>
        <v>0.44858333333333333</v>
      </c>
    </row>
    <row r="353" spans="1:28" x14ac:dyDescent="0.25">
      <c r="A353" s="3">
        <v>44589</v>
      </c>
      <c r="B353" t="s">
        <v>102</v>
      </c>
      <c r="C353" t="s">
        <v>48</v>
      </c>
      <c r="D353" t="s">
        <v>395</v>
      </c>
      <c r="E353">
        <v>6014</v>
      </c>
      <c r="F353">
        <f>539+29+63+76</f>
        <v>707</v>
      </c>
      <c r="G353">
        <f>670+1920</f>
        <v>2590</v>
      </c>
      <c r="H353">
        <v>1</v>
      </c>
      <c r="P353">
        <v>1</v>
      </c>
      <c r="Q353">
        <v>1</v>
      </c>
      <c r="R353">
        <v>1</v>
      </c>
      <c r="S353">
        <v>1</v>
      </c>
      <c r="V353">
        <v>1</v>
      </c>
      <c r="Y353">
        <f t="shared" si="15"/>
        <v>4931.34</v>
      </c>
      <c r="Z353">
        <f t="shared" si="16"/>
        <v>1082.6599999999999</v>
      </c>
      <c r="AA353" s="9">
        <f t="shared" si="17"/>
        <v>0.18002327901563017</v>
      </c>
    </row>
    <row r="354" spans="1:28" x14ac:dyDescent="0.25">
      <c r="A354" s="3">
        <v>44589</v>
      </c>
      <c r="B354" t="s">
        <v>30</v>
      </c>
      <c r="C354" t="s">
        <v>34</v>
      </c>
      <c r="D354" t="s">
        <v>397</v>
      </c>
      <c r="E354">
        <v>900</v>
      </c>
      <c r="F354">
        <v>177</v>
      </c>
      <c r="G354">
        <v>550</v>
      </c>
      <c r="H354">
        <v>1</v>
      </c>
      <c r="Q354">
        <v>1</v>
      </c>
      <c r="R354">
        <v>1</v>
      </c>
      <c r="S354">
        <v>1</v>
      </c>
      <c r="T354">
        <v>1</v>
      </c>
      <c r="Y354">
        <f t="shared" si="15"/>
        <v>978.7</v>
      </c>
      <c r="Z354">
        <f t="shared" si="16"/>
        <v>-78.700000000000045</v>
      </c>
      <c r="AA354" s="9">
        <f t="shared" si="17"/>
        <v>-8.7444444444444491E-2</v>
      </c>
    </row>
    <row r="355" spans="1:28" x14ac:dyDescent="0.25">
      <c r="A355" s="3">
        <v>44593</v>
      </c>
      <c r="B355" t="s">
        <v>102</v>
      </c>
      <c r="C355" t="s">
        <v>47</v>
      </c>
      <c r="D355" t="s">
        <v>396</v>
      </c>
      <c r="E355">
        <v>5550</v>
      </c>
      <c r="F355">
        <f>532+183</f>
        <v>715</v>
      </c>
      <c r="G355">
        <f>535+1760</f>
        <v>2295</v>
      </c>
      <c r="H355">
        <v>1</v>
      </c>
      <c r="Q355">
        <v>1</v>
      </c>
      <c r="R355">
        <v>1</v>
      </c>
      <c r="S355">
        <v>1</v>
      </c>
      <c r="Y355">
        <f t="shared" si="15"/>
        <v>4524.5</v>
      </c>
      <c r="Z355">
        <f t="shared" si="16"/>
        <v>1025.5</v>
      </c>
      <c r="AA355" s="9">
        <f t="shared" si="17"/>
        <v>0.18477477477477477</v>
      </c>
    </row>
    <row r="356" spans="1:28" x14ac:dyDescent="0.25">
      <c r="A356" s="3">
        <v>44594</v>
      </c>
      <c r="B356" t="s">
        <v>102</v>
      </c>
      <c r="C356" t="s">
        <v>48</v>
      </c>
      <c r="D356" t="s">
        <v>400</v>
      </c>
      <c r="E356">
        <v>1119</v>
      </c>
      <c r="F356">
        <v>75</v>
      </c>
      <c r="G356">
        <v>341</v>
      </c>
      <c r="H356">
        <v>1</v>
      </c>
      <c r="Q356">
        <v>1</v>
      </c>
      <c r="Y356">
        <f t="shared" si="15"/>
        <v>714.44</v>
      </c>
      <c r="Z356">
        <f t="shared" si="16"/>
        <v>404.55999999999995</v>
      </c>
      <c r="AA356" s="9">
        <f t="shared" si="17"/>
        <v>0.36153708668453971</v>
      </c>
    </row>
    <row r="357" spans="1:28" x14ac:dyDescent="0.25">
      <c r="A357" s="3">
        <v>44586</v>
      </c>
      <c r="B357" t="s">
        <v>102</v>
      </c>
      <c r="C357" t="s">
        <v>34</v>
      </c>
      <c r="D357" t="s">
        <v>252</v>
      </c>
      <c r="E357">
        <v>1150</v>
      </c>
      <c r="F357">
        <f>228+64</f>
        <v>292</v>
      </c>
      <c r="G357">
        <v>375</v>
      </c>
      <c r="H357">
        <v>1</v>
      </c>
      <c r="Q357">
        <v>1</v>
      </c>
      <c r="R357">
        <v>1</v>
      </c>
      <c r="Y357">
        <f t="shared" si="15"/>
        <v>995.2</v>
      </c>
      <c r="Z357">
        <f t="shared" si="16"/>
        <v>154.79999999999995</v>
      </c>
      <c r="AA357" s="9">
        <f t="shared" si="17"/>
        <v>0.13460869565217387</v>
      </c>
    </row>
    <row r="358" spans="1:28" x14ac:dyDescent="0.25">
      <c r="A358" s="3">
        <v>44601</v>
      </c>
      <c r="B358" t="s">
        <v>102</v>
      </c>
      <c r="C358" t="s">
        <v>48</v>
      </c>
      <c r="D358" t="s">
        <v>399</v>
      </c>
      <c r="E358">
        <v>3450</v>
      </c>
      <c r="F358">
        <v>267</v>
      </c>
      <c r="G358">
        <v>415</v>
      </c>
      <c r="H358">
        <v>1</v>
      </c>
      <c r="V358">
        <v>1</v>
      </c>
      <c r="Y358">
        <f t="shared" si="15"/>
        <v>1605.7</v>
      </c>
      <c r="Z358">
        <f t="shared" si="16"/>
        <v>1844.3</v>
      </c>
      <c r="AA358" s="9">
        <f t="shared" si="17"/>
        <v>0.53457971014492756</v>
      </c>
    </row>
    <row r="359" spans="1:28" x14ac:dyDescent="0.25">
      <c r="A359" s="3">
        <v>44601</v>
      </c>
      <c r="B359" t="s">
        <v>102</v>
      </c>
      <c r="C359" t="s">
        <v>47</v>
      </c>
      <c r="D359" t="s">
        <v>221</v>
      </c>
      <c r="E359">
        <v>6286</v>
      </c>
      <c r="F359">
        <f>987+34</f>
        <v>1021</v>
      </c>
      <c r="G359">
        <f>345+1342+36+456</f>
        <v>2179</v>
      </c>
      <c r="H359">
        <v>1</v>
      </c>
      <c r="Q359">
        <v>1</v>
      </c>
      <c r="R359">
        <v>1</v>
      </c>
      <c r="S359">
        <v>1</v>
      </c>
      <c r="T359">
        <v>1</v>
      </c>
      <c r="Y359">
        <f t="shared" si="15"/>
        <v>4936.4600000000009</v>
      </c>
      <c r="Z359">
        <f t="shared" si="16"/>
        <v>1349.5399999999991</v>
      </c>
      <c r="AA359" s="9">
        <f t="shared" si="17"/>
        <v>0.21468978682787132</v>
      </c>
      <c r="AB359">
        <v>1</v>
      </c>
    </row>
    <row r="360" spans="1:28" x14ac:dyDescent="0.25">
      <c r="A360" s="3">
        <v>44601</v>
      </c>
      <c r="B360" t="s">
        <v>20</v>
      </c>
      <c r="C360" t="s">
        <v>34</v>
      </c>
      <c r="D360" t="s">
        <v>398</v>
      </c>
      <c r="E360">
        <v>8005</v>
      </c>
      <c r="F360">
        <f>1178+130</f>
        <v>1308</v>
      </c>
      <c r="G360">
        <f>385+155+1687+1349</f>
        <v>3576</v>
      </c>
      <c r="H360">
        <v>1</v>
      </c>
      <c r="Q360">
        <v>1</v>
      </c>
      <c r="R360">
        <v>1</v>
      </c>
      <c r="S360">
        <v>1</v>
      </c>
      <c r="T360">
        <v>1</v>
      </c>
      <c r="Y360">
        <f t="shared" si="15"/>
        <v>7096.1</v>
      </c>
      <c r="Z360">
        <f t="shared" si="16"/>
        <v>908.89999999999964</v>
      </c>
      <c r="AA360" s="9">
        <f t="shared" si="17"/>
        <v>0.11354153653966266</v>
      </c>
    </row>
    <row r="361" spans="1:28" x14ac:dyDescent="0.25">
      <c r="A361" s="3">
        <v>44603</v>
      </c>
      <c r="B361" t="s">
        <v>20</v>
      </c>
      <c r="C361" t="s">
        <v>34</v>
      </c>
      <c r="D361" t="s">
        <v>101</v>
      </c>
      <c r="E361">
        <v>1433</v>
      </c>
      <c r="F361">
        <f>44+81</f>
        <v>125</v>
      </c>
      <c r="G361">
        <f>153+175</f>
        <v>328</v>
      </c>
      <c r="H361">
        <v>1</v>
      </c>
      <c r="O361">
        <v>1</v>
      </c>
      <c r="Q361">
        <v>1</v>
      </c>
      <c r="Y361">
        <f t="shared" si="15"/>
        <v>838.08</v>
      </c>
      <c r="Z361">
        <f t="shared" si="16"/>
        <v>594.91999999999996</v>
      </c>
      <c r="AA361" s="9">
        <f t="shared" si="17"/>
        <v>0.41515701325889737</v>
      </c>
    </row>
    <row r="362" spans="1:28" x14ac:dyDescent="0.25">
      <c r="A362" s="3">
        <v>44603</v>
      </c>
      <c r="B362" t="s">
        <v>102</v>
      </c>
      <c r="C362" t="s">
        <v>47</v>
      </c>
      <c r="D362" t="s">
        <v>403</v>
      </c>
      <c r="E362">
        <v>6884</v>
      </c>
      <c r="F362">
        <f>773+204+343</f>
        <v>1320</v>
      </c>
      <c r="G362">
        <f>736+2151</f>
        <v>2887</v>
      </c>
      <c r="H362">
        <v>1</v>
      </c>
      <c r="Q362">
        <v>1</v>
      </c>
      <c r="R362">
        <v>1</v>
      </c>
      <c r="S362">
        <v>1</v>
      </c>
      <c r="T362">
        <v>1</v>
      </c>
      <c r="Y362">
        <f t="shared" si="15"/>
        <v>6128.84</v>
      </c>
      <c r="Z362">
        <f t="shared" si="16"/>
        <v>755.15999999999985</v>
      </c>
      <c r="AA362" s="9">
        <f t="shared" si="17"/>
        <v>0.10969785008715861</v>
      </c>
    </row>
    <row r="363" spans="1:28" x14ac:dyDescent="0.25">
      <c r="A363" s="3">
        <v>44613</v>
      </c>
      <c r="B363" t="s">
        <v>102</v>
      </c>
      <c r="C363" t="s">
        <v>48</v>
      </c>
      <c r="D363" t="s">
        <v>401</v>
      </c>
      <c r="E363">
        <v>385</v>
      </c>
      <c r="F363">
        <v>75</v>
      </c>
      <c r="G363">
        <v>323</v>
      </c>
      <c r="H363">
        <v>1</v>
      </c>
      <c r="Q363">
        <v>1</v>
      </c>
      <c r="Y363">
        <f t="shared" si="15"/>
        <v>505.6</v>
      </c>
      <c r="Z363">
        <f t="shared" si="16"/>
        <v>-120.60000000000002</v>
      </c>
      <c r="AA363" s="9">
        <f t="shared" si="17"/>
        <v>-0.31324675324675333</v>
      </c>
    </row>
    <row r="364" spans="1:28" x14ac:dyDescent="0.25">
      <c r="A364" s="3">
        <v>44613</v>
      </c>
      <c r="B364" t="s">
        <v>102</v>
      </c>
      <c r="C364" t="s">
        <v>34</v>
      </c>
      <c r="D364" t="s">
        <v>370</v>
      </c>
      <c r="E364">
        <f>7600+600</f>
        <v>8200</v>
      </c>
      <c r="F364">
        <f>820+55</f>
        <v>875</v>
      </c>
      <c r="G364">
        <f>2370+607+535</f>
        <v>3512</v>
      </c>
      <c r="H364">
        <v>1</v>
      </c>
      <c r="Q364">
        <v>1</v>
      </c>
      <c r="R364">
        <v>1</v>
      </c>
      <c r="S364">
        <v>1</v>
      </c>
      <c r="Y364">
        <f t="shared" si="15"/>
        <v>6606.5</v>
      </c>
      <c r="Z364">
        <f t="shared" si="16"/>
        <v>1593.5</v>
      </c>
      <c r="AA364" s="9">
        <f t="shared" si="17"/>
        <v>0.19432926829268293</v>
      </c>
    </row>
    <row r="365" spans="1:28" x14ac:dyDescent="0.25">
      <c r="A365" s="3">
        <v>44610</v>
      </c>
      <c r="B365" t="s">
        <v>102</v>
      </c>
      <c r="C365" t="s">
        <v>48</v>
      </c>
      <c r="D365" t="s">
        <v>404</v>
      </c>
      <c r="E365">
        <v>2430</v>
      </c>
      <c r="F365">
        <v>209</v>
      </c>
      <c r="G365">
        <v>269</v>
      </c>
      <c r="H365">
        <v>1</v>
      </c>
      <c r="V365">
        <v>1</v>
      </c>
      <c r="Y365">
        <f t="shared" si="15"/>
        <v>1130.7</v>
      </c>
      <c r="Z365">
        <f t="shared" si="16"/>
        <v>1299.3</v>
      </c>
      <c r="AA365" s="9">
        <f t="shared" si="17"/>
        <v>0.53469135802469137</v>
      </c>
    </row>
    <row r="366" spans="1:28" x14ac:dyDescent="0.25">
      <c r="A366" s="3">
        <v>44610</v>
      </c>
      <c r="B366" t="s">
        <v>20</v>
      </c>
      <c r="C366" t="s">
        <v>47</v>
      </c>
      <c r="D366" t="s">
        <v>405</v>
      </c>
      <c r="E366">
        <f>6871+809</f>
        <v>7680</v>
      </c>
      <c r="F366">
        <f>1127+210</f>
        <v>1337</v>
      </c>
      <c r="G366">
        <f>2070+696</f>
        <v>2766</v>
      </c>
      <c r="H366">
        <v>1</v>
      </c>
      <c r="Q366">
        <v>1</v>
      </c>
      <c r="R366">
        <v>1</v>
      </c>
      <c r="Y366">
        <f t="shared" si="15"/>
        <v>6233.5</v>
      </c>
      <c r="Z366">
        <f t="shared" si="16"/>
        <v>1446.5</v>
      </c>
      <c r="AA366" s="9">
        <f t="shared" si="17"/>
        <v>0.18834635416666667</v>
      </c>
    </row>
    <row r="367" spans="1:28" x14ac:dyDescent="0.25">
      <c r="A367" s="3">
        <v>44587</v>
      </c>
      <c r="B367" t="s">
        <v>30</v>
      </c>
      <c r="C367" t="s">
        <v>48</v>
      </c>
      <c r="D367" t="s">
        <v>350</v>
      </c>
      <c r="E367">
        <v>2200</v>
      </c>
      <c r="F367">
        <f>26+1348+47+80</f>
        <v>1501</v>
      </c>
      <c r="G367">
        <f>400+1405+510+371</f>
        <v>2686</v>
      </c>
      <c r="H367">
        <v>1</v>
      </c>
      <c r="Q367">
        <v>1</v>
      </c>
      <c r="R367">
        <v>1</v>
      </c>
      <c r="Y367">
        <f t="shared" si="15"/>
        <v>4909.1000000000004</v>
      </c>
      <c r="Z367">
        <f t="shared" si="16"/>
        <v>-2709.1000000000004</v>
      </c>
      <c r="AA367" s="9">
        <f t="shared" si="17"/>
        <v>-1.2314090909090911</v>
      </c>
    </row>
    <row r="368" spans="1:28" x14ac:dyDescent="0.25">
      <c r="A368" s="3">
        <v>44617</v>
      </c>
      <c r="B368" t="s">
        <v>102</v>
      </c>
      <c r="C368" t="s">
        <v>47</v>
      </c>
      <c r="D368" t="s">
        <v>406</v>
      </c>
      <c r="E368">
        <v>6815</v>
      </c>
      <c r="F368">
        <f>737+39+160</f>
        <v>936</v>
      </c>
      <c r="G368">
        <f>2489+2135</f>
        <v>4624</v>
      </c>
      <c r="H368">
        <v>1</v>
      </c>
      <c r="Q368">
        <v>1</v>
      </c>
      <c r="R368">
        <v>1</v>
      </c>
      <c r="S368">
        <v>1</v>
      </c>
      <c r="Y368">
        <f t="shared" si="15"/>
        <v>7425.5</v>
      </c>
      <c r="Z368">
        <f t="shared" si="16"/>
        <v>-610.5</v>
      </c>
      <c r="AA368" s="9">
        <f t="shared" si="17"/>
        <v>-8.9581804842259721E-2</v>
      </c>
    </row>
    <row r="369" spans="1:28" x14ac:dyDescent="0.25">
      <c r="A369" s="3">
        <v>44617</v>
      </c>
      <c r="B369" t="s">
        <v>102</v>
      </c>
      <c r="C369" t="s">
        <v>34</v>
      </c>
      <c r="D369" t="s">
        <v>29</v>
      </c>
      <c r="E369">
        <v>3000</v>
      </c>
      <c r="F369">
        <v>287</v>
      </c>
      <c r="G369">
        <f>321+606</f>
        <v>927</v>
      </c>
      <c r="V369">
        <v>1</v>
      </c>
      <c r="Y369">
        <f t="shared" si="15"/>
        <v>2022.7</v>
      </c>
      <c r="Z369">
        <f t="shared" si="16"/>
        <v>977.3</v>
      </c>
      <c r="AA369" s="9">
        <f t="shared" si="17"/>
        <v>0.32576666666666665</v>
      </c>
      <c r="AB369">
        <v>1</v>
      </c>
    </row>
    <row r="370" spans="1:28" x14ac:dyDescent="0.25">
      <c r="A370" s="3">
        <v>44616</v>
      </c>
      <c r="B370" t="s">
        <v>102</v>
      </c>
      <c r="C370" t="s">
        <v>34</v>
      </c>
      <c r="D370" t="s">
        <v>408</v>
      </c>
      <c r="E370">
        <v>900</v>
      </c>
      <c r="F370">
        <v>201</v>
      </c>
      <c r="G370">
        <v>370</v>
      </c>
      <c r="H370">
        <v>1</v>
      </c>
      <c r="Q370">
        <v>1</v>
      </c>
      <c r="R370">
        <v>1</v>
      </c>
      <c r="Y370">
        <f t="shared" si="15"/>
        <v>825.1</v>
      </c>
      <c r="Z370">
        <f t="shared" si="16"/>
        <v>74.899999999999977</v>
      </c>
      <c r="AA370" s="9">
        <f t="shared" si="17"/>
        <v>8.3222222222222197E-2</v>
      </c>
    </row>
    <row r="371" spans="1:28" x14ac:dyDescent="0.25">
      <c r="A371" s="3">
        <v>44615</v>
      </c>
      <c r="B371" t="s">
        <v>102</v>
      </c>
      <c r="C371" t="s">
        <v>48</v>
      </c>
      <c r="D371" t="s">
        <v>60</v>
      </c>
      <c r="E371">
        <v>4776</v>
      </c>
      <c r="F371">
        <f>637+41</f>
        <v>678</v>
      </c>
      <c r="G371">
        <f>658+978</f>
        <v>1636</v>
      </c>
      <c r="H371">
        <v>1</v>
      </c>
      <c r="Q371">
        <v>1</v>
      </c>
      <c r="R371">
        <v>1</v>
      </c>
      <c r="S371">
        <v>1</v>
      </c>
      <c r="T371">
        <v>1</v>
      </c>
      <c r="Y371">
        <f t="shared" si="15"/>
        <v>3623.5600000000004</v>
      </c>
      <c r="Z371">
        <f t="shared" si="16"/>
        <v>1152.4399999999996</v>
      </c>
      <c r="AA371" s="9">
        <f t="shared" si="17"/>
        <v>0.24129815745393626</v>
      </c>
    </row>
    <row r="372" spans="1:28" x14ac:dyDescent="0.25">
      <c r="A372" s="3">
        <v>44615</v>
      </c>
      <c r="B372" t="s">
        <v>102</v>
      </c>
      <c r="C372" t="s">
        <v>48</v>
      </c>
      <c r="D372" t="s">
        <v>402</v>
      </c>
      <c r="E372">
        <v>8525</v>
      </c>
      <c r="F372">
        <f>368+70+125+71+42+70+41</f>
        <v>787</v>
      </c>
      <c r="G372">
        <f>737+1709+2435+614+370</f>
        <v>5865</v>
      </c>
      <c r="H372">
        <v>1</v>
      </c>
      <c r="S372">
        <v>1</v>
      </c>
      <c r="T372">
        <v>1</v>
      </c>
      <c r="Y372">
        <f t="shared" si="15"/>
        <v>8947.2000000000007</v>
      </c>
      <c r="Z372">
        <f t="shared" si="16"/>
        <v>-422.20000000000073</v>
      </c>
      <c r="AA372" s="9">
        <f t="shared" si="17"/>
        <v>-4.9524926686217094E-2</v>
      </c>
      <c r="AB372">
        <v>1</v>
      </c>
    </row>
    <row r="373" spans="1:28" x14ac:dyDescent="0.25">
      <c r="A373" s="3">
        <v>44624</v>
      </c>
      <c r="B373" t="s">
        <v>102</v>
      </c>
      <c r="C373" t="s">
        <v>47</v>
      </c>
      <c r="D373" t="s">
        <v>407</v>
      </c>
      <c r="E373">
        <v>2100</v>
      </c>
      <c r="F373">
        <v>187</v>
      </c>
      <c r="G373">
        <f>350+345</f>
        <v>695</v>
      </c>
      <c r="H373">
        <v>1</v>
      </c>
      <c r="V373">
        <v>1</v>
      </c>
      <c r="Y373">
        <f t="shared" si="15"/>
        <v>1446.7</v>
      </c>
      <c r="Z373">
        <f t="shared" si="16"/>
        <v>653.29999999999995</v>
      </c>
      <c r="AA373" s="9">
        <f t="shared" si="17"/>
        <v>0.31109523809523809</v>
      </c>
    </row>
    <row r="374" spans="1:28" x14ac:dyDescent="0.25">
      <c r="A374" s="3">
        <v>44624</v>
      </c>
      <c r="B374" t="s">
        <v>102</v>
      </c>
      <c r="C374" t="s">
        <v>34</v>
      </c>
      <c r="D374" t="s">
        <v>409</v>
      </c>
      <c r="E374">
        <v>7193</v>
      </c>
      <c r="F374">
        <f>614+190+156</f>
        <v>960</v>
      </c>
      <c r="G374">
        <f>605+2405</f>
        <v>3010</v>
      </c>
      <c r="H374">
        <v>1</v>
      </c>
      <c r="Q374">
        <v>1</v>
      </c>
      <c r="R374">
        <v>1</v>
      </c>
      <c r="S374">
        <v>1</v>
      </c>
      <c r="Y374">
        <f t="shared" si="15"/>
        <v>5936.18</v>
      </c>
      <c r="Z374">
        <f t="shared" si="16"/>
        <v>1256.8199999999997</v>
      </c>
      <c r="AA374" s="9">
        <f t="shared" si="17"/>
        <v>0.17472820797998051</v>
      </c>
    </row>
    <row r="375" spans="1:28" x14ac:dyDescent="0.25">
      <c r="A375" s="3">
        <v>44624</v>
      </c>
      <c r="B375" t="s">
        <v>102</v>
      </c>
      <c r="C375" t="s">
        <v>30</v>
      </c>
      <c r="D375" t="s">
        <v>410</v>
      </c>
      <c r="E375">
        <v>480</v>
      </c>
      <c r="F375">
        <f>106+28</f>
        <v>134</v>
      </c>
      <c r="G375">
        <v>150</v>
      </c>
      <c r="H375">
        <v>1</v>
      </c>
      <c r="Q375">
        <v>1</v>
      </c>
      <c r="R375">
        <v>1</v>
      </c>
      <c r="Y375">
        <f t="shared" si="15"/>
        <v>422.2</v>
      </c>
      <c r="Z375">
        <f t="shared" si="16"/>
        <v>57.800000000000011</v>
      </c>
      <c r="AA375" s="9">
        <f t="shared" si="17"/>
        <v>0.12041666666666669</v>
      </c>
    </row>
    <row r="376" spans="1:28" x14ac:dyDescent="0.25">
      <c r="A376" s="3">
        <v>44623</v>
      </c>
      <c r="B376" t="s">
        <v>102</v>
      </c>
      <c r="C376" t="s">
        <v>48</v>
      </c>
      <c r="D376" t="s">
        <v>412</v>
      </c>
      <c r="E376">
        <v>1744</v>
      </c>
      <c r="F376">
        <v>156</v>
      </c>
      <c r="G376">
        <v>410</v>
      </c>
      <c r="H376">
        <v>1</v>
      </c>
      <c r="Q376">
        <v>1</v>
      </c>
      <c r="T376">
        <v>1</v>
      </c>
      <c r="Y376">
        <f t="shared" si="15"/>
        <v>1035.04</v>
      </c>
      <c r="Z376">
        <f t="shared" si="16"/>
        <v>708.96</v>
      </c>
      <c r="AA376" s="9">
        <f t="shared" si="17"/>
        <v>0.40651376146788992</v>
      </c>
    </row>
    <row r="377" spans="1:28" x14ac:dyDescent="0.25">
      <c r="A377" s="3">
        <v>44624</v>
      </c>
      <c r="B377" t="s">
        <v>102</v>
      </c>
      <c r="C377" s="12" t="s">
        <v>47</v>
      </c>
      <c r="D377" t="s">
        <v>99</v>
      </c>
      <c r="E377">
        <v>3047</v>
      </c>
      <c r="F377">
        <f>96+259+55</f>
        <v>410</v>
      </c>
      <c r="G377">
        <v>1632</v>
      </c>
      <c r="H377">
        <v>1</v>
      </c>
      <c r="Y377">
        <f t="shared" si="15"/>
        <v>2875.2200000000003</v>
      </c>
      <c r="Z377">
        <f t="shared" si="16"/>
        <v>171.77999999999975</v>
      </c>
      <c r="AA377" s="9">
        <f t="shared" si="17"/>
        <v>5.6376764030193552E-2</v>
      </c>
    </row>
    <row r="378" spans="1:28" x14ac:dyDescent="0.25">
      <c r="A378" s="3">
        <v>44628</v>
      </c>
      <c r="B378" t="s">
        <v>102</v>
      </c>
      <c r="C378" s="12" t="s">
        <v>48</v>
      </c>
      <c r="D378" t="s">
        <v>418</v>
      </c>
      <c r="E378">
        <v>1665</v>
      </c>
      <c r="F378">
        <v>385</v>
      </c>
      <c r="G378">
        <v>413</v>
      </c>
      <c r="H378">
        <v>1</v>
      </c>
      <c r="Q378">
        <v>1</v>
      </c>
      <c r="Y378">
        <f t="shared" si="15"/>
        <v>1269.4000000000001</v>
      </c>
      <c r="Z378">
        <f t="shared" si="16"/>
        <v>395.59999999999991</v>
      </c>
      <c r="AA378" s="9">
        <f t="shared" si="17"/>
        <v>0.23759759759759755</v>
      </c>
    </row>
    <row r="379" spans="1:28" x14ac:dyDescent="0.25">
      <c r="A379" s="3">
        <v>44630</v>
      </c>
      <c r="B379" t="s">
        <v>20</v>
      </c>
      <c r="C379" t="s">
        <v>102</v>
      </c>
      <c r="D379" t="s">
        <v>309</v>
      </c>
      <c r="E379">
        <v>2728</v>
      </c>
      <c r="F379">
        <v>111</v>
      </c>
      <c r="G379">
        <f>337+540</f>
        <v>877</v>
      </c>
      <c r="H379">
        <v>1</v>
      </c>
      <c r="Q379">
        <v>1</v>
      </c>
      <c r="S379">
        <v>1</v>
      </c>
      <c r="Y379">
        <f t="shared" si="15"/>
        <v>1708.38</v>
      </c>
      <c r="Z379">
        <f t="shared" si="16"/>
        <v>1019.6199999999999</v>
      </c>
      <c r="AA379" s="9">
        <f t="shared" si="17"/>
        <v>0.37376099706744864</v>
      </c>
    </row>
    <row r="380" spans="1:28" x14ac:dyDescent="0.25">
      <c r="A380" s="3">
        <v>44631</v>
      </c>
      <c r="B380" t="s">
        <v>102</v>
      </c>
      <c r="C380" t="s">
        <v>48</v>
      </c>
      <c r="D380" t="s">
        <v>417</v>
      </c>
      <c r="E380">
        <v>1860</v>
      </c>
      <c r="F380">
        <v>199</v>
      </c>
      <c r="G380">
        <v>744</v>
      </c>
      <c r="H380">
        <v>1</v>
      </c>
      <c r="Q380">
        <v>1</v>
      </c>
      <c r="R380">
        <v>1</v>
      </c>
      <c r="S380">
        <v>1</v>
      </c>
      <c r="Y380">
        <f t="shared" si="15"/>
        <v>1446.5</v>
      </c>
      <c r="Z380">
        <f t="shared" si="16"/>
        <v>413.5</v>
      </c>
      <c r="AA380" s="9">
        <f t="shared" si="17"/>
        <v>0.22231182795698926</v>
      </c>
    </row>
    <row r="381" spans="1:28" x14ac:dyDescent="0.25">
      <c r="A381" s="3">
        <v>44634</v>
      </c>
      <c r="B381" t="s">
        <v>102</v>
      </c>
      <c r="C381" t="s">
        <v>47</v>
      </c>
      <c r="D381" t="s">
        <v>420</v>
      </c>
      <c r="E381">
        <v>1182</v>
      </c>
      <c r="F381">
        <f>195</f>
        <v>195</v>
      </c>
      <c r="G381">
        <v>503</v>
      </c>
      <c r="H381">
        <v>1</v>
      </c>
      <c r="Q381">
        <v>1</v>
      </c>
      <c r="R381">
        <v>1</v>
      </c>
      <c r="S381">
        <v>1</v>
      </c>
      <c r="Y381">
        <f t="shared" si="15"/>
        <v>1024.82</v>
      </c>
      <c r="Z381">
        <f t="shared" si="16"/>
        <v>157.18000000000006</v>
      </c>
      <c r="AA381" s="9">
        <f t="shared" si="17"/>
        <v>0.1329780033840948</v>
      </c>
    </row>
    <row r="382" spans="1:28" x14ac:dyDescent="0.25">
      <c r="A382" s="3">
        <v>44631</v>
      </c>
      <c r="B382" t="s">
        <v>102</v>
      </c>
      <c r="C382" t="s">
        <v>47</v>
      </c>
      <c r="D382" t="s">
        <v>413</v>
      </c>
      <c r="E382">
        <v>1549</v>
      </c>
      <c r="F382">
        <v>190</v>
      </c>
      <c r="G382">
        <v>684</v>
      </c>
      <c r="H382">
        <v>1</v>
      </c>
      <c r="Q382">
        <v>1</v>
      </c>
      <c r="R382">
        <v>1</v>
      </c>
      <c r="Y382">
        <f t="shared" si="15"/>
        <v>1295.74</v>
      </c>
      <c r="Z382">
        <f t="shared" si="16"/>
        <v>253.26</v>
      </c>
      <c r="AA382" s="9">
        <f t="shared" si="17"/>
        <v>0.16349903163331181</v>
      </c>
    </row>
    <row r="383" spans="1:28" x14ac:dyDescent="0.25">
      <c r="A383" s="3">
        <v>44631</v>
      </c>
      <c r="B383" t="s">
        <v>30</v>
      </c>
      <c r="C383" t="s">
        <v>34</v>
      </c>
      <c r="D383" t="s">
        <v>415</v>
      </c>
      <c r="E383">
        <v>4275</v>
      </c>
      <c r="F383">
        <f>249+62</f>
        <v>311</v>
      </c>
      <c r="G383">
        <f>422+1101</f>
        <v>1523</v>
      </c>
      <c r="V383">
        <v>1</v>
      </c>
      <c r="Y383">
        <f t="shared" si="15"/>
        <v>2976.6</v>
      </c>
      <c r="Z383">
        <f t="shared" si="16"/>
        <v>1298.4000000000001</v>
      </c>
      <c r="AA383" s="9">
        <f t="shared" si="17"/>
        <v>0.30371929824561406</v>
      </c>
    </row>
    <row r="384" spans="1:28" x14ac:dyDescent="0.25">
      <c r="A384" s="3">
        <v>44631</v>
      </c>
      <c r="B384" t="s">
        <v>20</v>
      </c>
      <c r="C384" t="s">
        <v>47</v>
      </c>
      <c r="D384" t="s">
        <v>414</v>
      </c>
      <c r="E384">
        <v>4905</v>
      </c>
      <c r="F384">
        <f>372+60+167</f>
        <v>599</v>
      </c>
      <c r="G384">
        <f>530+1044</f>
        <v>1574</v>
      </c>
      <c r="H384">
        <v>1</v>
      </c>
      <c r="Q384">
        <v>1</v>
      </c>
      <c r="R384">
        <v>1</v>
      </c>
      <c r="S384">
        <v>1</v>
      </c>
      <c r="T384">
        <v>1</v>
      </c>
      <c r="Y384">
        <f t="shared" si="15"/>
        <v>3508.2</v>
      </c>
      <c r="Z384">
        <f t="shared" si="16"/>
        <v>1396.8000000000002</v>
      </c>
      <c r="AA384" s="9">
        <f t="shared" si="17"/>
        <v>0.2847706422018349</v>
      </c>
    </row>
    <row r="385" spans="1:27" x14ac:dyDescent="0.25">
      <c r="A385" s="3">
        <v>44635</v>
      </c>
      <c r="B385" t="s">
        <v>20</v>
      </c>
      <c r="C385" t="s">
        <v>48</v>
      </c>
      <c r="D385" t="s">
        <v>426</v>
      </c>
      <c r="E385">
        <v>2200</v>
      </c>
      <c r="F385">
        <f>279+209</f>
        <v>488</v>
      </c>
      <c r="G385">
        <v>525</v>
      </c>
      <c r="O385">
        <v>1</v>
      </c>
      <c r="Y385">
        <f t="shared" si="15"/>
        <v>1633.8000000000002</v>
      </c>
      <c r="Z385">
        <f t="shared" si="16"/>
        <v>566.19999999999982</v>
      </c>
      <c r="AA385" s="9">
        <f t="shared" si="17"/>
        <v>0.25736363636363629</v>
      </c>
    </row>
    <row r="386" spans="1:27" x14ac:dyDescent="0.25">
      <c r="A386" s="3">
        <v>44637</v>
      </c>
      <c r="B386" t="s">
        <v>102</v>
      </c>
      <c r="C386" t="s">
        <v>47</v>
      </c>
      <c r="D386" t="s">
        <v>421</v>
      </c>
      <c r="E386">
        <v>2026</v>
      </c>
      <c r="F386">
        <f>304+41</f>
        <v>345</v>
      </c>
      <c r="G386">
        <v>730</v>
      </c>
      <c r="H386">
        <v>1</v>
      </c>
      <c r="Q386">
        <v>1</v>
      </c>
      <c r="R386">
        <v>1</v>
      </c>
      <c r="S386">
        <v>1</v>
      </c>
      <c r="T386">
        <v>1</v>
      </c>
      <c r="Y386">
        <f t="shared" si="15"/>
        <v>1636.26</v>
      </c>
      <c r="Z386">
        <f t="shared" si="16"/>
        <v>389.74</v>
      </c>
      <c r="AA386" s="9">
        <f t="shared" si="17"/>
        <v>0.19236920039486674</v>
      </c>
    </row>
    <row r="387" spans="1:27" x14ac:dyDescent="0.25">
      <c r="A387" s="3">
        <v>44637</v>
      </c>
      <c r="B387" t="s">
        <v>102</v>
      </c>
      <c r="C387" t="s">
        <v>48</v>
      </c>
      <c r="D387" t="s">
        <v>424</v>
      </c>
      <c r="E387">
        <v>932</v>
      </c>
      <c r="F387">
        <v>119</v>
      </c>
      <c r="G387">
        <v>340</v>
      </c>
      <c r="H387">
        <v>1</v>
      </c>
      <c r="Q387">
        <v>1</v>
      </c>
      <c r="R387">
        <v>1</v>
      </c>
      <c r="S387">
        <v>1</v>
      </c>
      <c r="T387">
        <v>1</v>
      </c>
      <c r="Y387">
        <f t="shared" si="15"/>
        <v>713.22</v>
      </c>
      <c r="Z387">
        <f t="shared" si="16"/>
        <v>218.77999999999997</v>
      </c>
      <c r="AA387" s="9">
        <f t="shared" si="17"/>
        <v>0.23474248927038624</v>
      </c>
    </row>
    <row r="388" spans="1:27" x14ac:dyDescent="0.25">
      <c r="A388" s="3">
        <v>44637</v>
      </c>
      <c r="B388" t="s">
        <v>20</v>
      </c>
      <c r="C388" t="s">
        <v>47</v>
      </c>
      <c r="D388" t="s">
        <v>419</v>
      </c>
      <c r="E388">
        <v>900</v>
      </c>
      <c r="F388">
        <f>145</f>
        <v>145</v>
      </c>
      <c r="G388">
        <v>365</v>
      </c>
      <c r="H388">
        <v>1</v>
      </c>
      <c r="Q388">
        <v>1</v>
      </c>
      <c r="S388">
        <v>1</v>
      </c>
      <c r="Y388">
        <f t="shared" ref="Y388:Y453" si="18">G388+F388*1.1+E388*0.26</f>
        <v>758.5</v>
      </c>
      <c r="Z388">
        <f t="shared" ref="Z388:Z453" si="19">E388-Y388</f>
        <v>141.5</v>
      </c>
      <c r="AA388" s="9">
        <f t="shared" ref="AA388:AA439" si="20">Z388/E388</f>
        <v>0.15722222222222224</v>
      </c>
    </row>
    <row r="389" spans="1:27" x14ac:dyDescent="0.25">
      <c r="A389" s="3">
        <v>44638</v>
      </c>
      <c r="B389" t="s">
        <v>102</v>
      </c>
      <c r="C389" t="s">
        <v>48</v>
      </c>
      <c r="D389" t="s">
        <v>425</v>
      </c>
      <c r="E389">
        <v>800</v>
      </c>
      <c r="F389">
        <f>62+72</f>
        <v>134</v>
      </c>
      <c r="G389">
        <f>169+200</f>
        <v>369</v>
      </c>
      <c r="H389">
        <v>1</v>
      </c>
      <c r="V389">
        <v>1</v>
      </c>
      <c r="Y389">
        <f t="shared" si="18"/>
        <v>724.4</v>
      </c>
      <c r="Z389">
        <f t="shared" si="19"/>
        <v>75.600000000000023</v>
      </c>
      <c r="AA389" s="9">
        <f t="shared" si="20"/>
        <v>9.4500000000000028E-2</v>
      </c>
    </row>
    <row r="390" spans="1:27" x14ac:dyDescent="0.25">
      <c r="A390" s="3">
        <v>44638</v>
      </c>
      <c r="B390" t="s">
        <v>102</v>
      </c>
      <c r="C390" t="s">
        <v>47</v>
      </c>
      <c r="D390" t="s">
        <v>430</v>
      </c>
      <c r="E390">
        <v>1440</v>
      </c>
      <c r="F390">
        <v>163</v>
      </c>
      <c r="G390">
        <v>510</v>
      </c>
      <c r="H390">
        <v>1</v>
      </c>
      <c r="Q390">
        <v>1</v>
      </c>
      <c r="R390">
        <v>1</v>
      </c>
      <c r="S390">
        <v>1</v>
      </c>
      <c r="T390">
        <v>1</v>
      </c>
      <c r="Y390">
        <f t="shared" si="18"/>
        <v>1063.7</v>
      </c>
      <c r="Z390">
        <f t="shared" si="19"/>
        <v>376.29999999999995</v>
      </c>
      <c r="AA390" s="9">
        <f t="shared" si="20"/>
        <v>0.26131944444444444</v>
      </c>
    </row>
    <row r="391" spans="1:27" x14ac:dyDescent="0.25">
      <c r="A391" s="3">
        <v>44638</v>
      </c>
      <c r="B391" t="s">
        <v>30</v>
      </c>
      <c r="C391" t="s">
        <v>47</v>
      </c>
      <c r="D391" t="s">
        <v>427</v>
      </c>
      <c r="E391">
        <v>542</v>
      </c>
      <c r="F391">
        <v>83</v>
      </c>
      <c r="G391">
        <v>115</v>
      </c>
      <c r="H391">
        <v>1</v>
      </c>
      <c r="Q391">
        <v>1</v>
      </c>
      <c r="Y391">
        <f t="shared" si="18"/>
        <v>347.22</v>
      </c>
      <c r="Z391">
        <f t="shared" si="19"/>
        <v>194.77999999999997</v>
      </c>
      <c r="AA391" s="9">
        <f t="shared" si="20"/>
        <v>0.3593726937269372</v>
      </c>
    </row>
    <row r="392" spans="1:27" x14ac:dyDescent="0.25">
      <c r="A392" s="3">
        <v>44638</v>
      </c>
      <c r="B392" t="s">
        <v>20</v>
      </c>
      <c r="C392" t="s">
        <v>34</v>
      </c>
      <c r="D392" t="s">
        <v>422</v>
      </c>
      <c r="E392">
        <v>7768</v>
      </c>
      <c r="F392">
        <f>41+180+37+1035</f>
        <v>1293</v>
      </c>
      <c r="G392">
        <f>1482+2365+28</f>
        <v>3875</v>
      </c>
      <c r="H392">
        <v>1</v>
      </c>
      <c r="Q392">
        <v>1</v>
      </c>
      <c r="R392">
        <v>1</v>
      </c>
      <c r="Y392">
        <f t="shared" si="18"/>
        <v>7316.9800000000005</v>
      </c>
      <c r="Z392">
        <f t="shared" si="19"/>
        <v>451.01999999999953</v>
      </c>
      <c r="AA392" s="9">
        <f t="shared" si="20"/>
        <v>5.8061277033985524E-2</v>
      </c>
    </row>
    <row r="393" spans="1:27" x14ac:dyDescent="0.25">
      <c r="A393" s="3">
        <v>44638</v>
      </c>
      <c r="B393" t="s">
        <v>30</v>
      </c>
      <c r="C393" t="s">
        <v>443</v>
      </c>
      <c r="D393" t="s">
        <v>428</v>
      </c>
      <c r="E393">
        <v>1350</v>
      </c>
      <c r="F393">
        <v>192</v>
      </c>
      <c r="G393">
        <v>520</v>
      </c>
      <c r="I393">
        <v>1</v>
      </c>
      <c r="L393">
        <v>1</v>
      </c>
      <c r="S393">
        <v>1</v>
      </c>
      <c r="Y393">
        <f t="shared" si="18"/>
        <v>1082.2</v>
      </c>
      <c r="Z393">
        <f t="shared" si="19"/>
        <v>267.79999999999995</v>
      </c>
      <c r="AA393" s="9">
        <f t="shared" si="20"/>
        <v>0.19837037037037034</v>
      </c>
    </row>
    <row r="394" spans="1:27" x14ac:dyDescent="0.25">
      <c r="A394" s="3">
        <v>44643</v>
      </c>
      <c r="B394" t="s">
        <v>20</v>
      </c>
      <c r="C394" t="s">
        <v>48</v>
      </c>
      <c r="D394" t="s">
        <v>433</v>
      </c>
      <c r="E394">
        <v>2935</v>
      </c>
      <c r="F394">
        <v>438</v>
      </c>
      <c r="G394">
        <f>405+903</f>
        <v>1308</v>
      </c>
      <c r="H394">
        <v>1</v>
      </c>
      <c r="Q394">
        <v>1</v>
      </c>
      <c r="Y394">
        <f t="shared" si="18"/>
        <v>2552.9</v>
      </c>
      <c r="Z394">
        <f t="shared" si="19"/>
        <v>382.09999999999991</v>
      </c>
      <c r="AA394" s="9">
        <f t="shared" si="20"/>
        <v>0.13018739352640543</v>
      </c>
    </row>
    <row r="395" spans="1:27" x14ac:dyDescent="0.25">
      <c r="A395" s="3">
        <v>44643</v>
      </c>
      <c r="B395" t="s">
        <v>102</v>
      </c>
      <c r="C395" t="s">
        <v>34</v>
      </c>
      <c r="D395" t="s">
        <v>434</v>
      </c>
      <c r="E395">
        <v>1874</v>
      </c>
      <c r="F395">
        <v>277</v>
      </c>
      <c r="G395">
        <v>555</v>
      </c>
      <c r="H395">
        <v>1</v>
      </c>
      <c r="Q395">
        <v>1</v>
      </c>
      <c r="Y395">
        <f t="shared" si="18"/>
        <v>1346.94</v>
      </c>
      <c r="Z395">
        <f t="shared" si="19"/>
        <v>527.05999999999995</v>
      </c>
      <c r="AA395" s="9">
        <f t="shared" si="20"/>
        <v>0.28124866595517606</v>
      </c>
    </row>
    <row r="396" spans="1:27" x14ac:dyDescent="0.25">
      <c r="A396" s="3">
        <v>44645</v>
      </c>
      <c r="B396" t="s">
        <v>102</v>
      </c>
      <c r="C396" t="s">
        <v>34</v>
      </c>
      <c r="D396" t="s">
        <v>257</v>
      </c>
      <c r="E396">
        <v>2800</v>
      </c>
      <c r="F396">
        <f>187+74</f>
        <v>261</v>
      </c>
      <c r="G396">
        <f>395+606</f>
        <v>1001</v>
      </c>
      <c r="X396">
        <v>1</v>
      </c>
      <c r="Y396">
        <f t="shared" si="18"/>
        <v>2016.1</v>
      </c>
      <c r="Z396">
        <f t="shared" si="19"/>
        <v>783.90000000000009</v>
      </c>
      <c r="AA396" s="9">
        <f t="shared" si="20"/>
        <v>0.27996428571428572</v>
      </c>
    </row>
    <row r="397" spans="1:27" x14ac:dyDescent="0.25">
      <c r="A397" s="3">
        <v>44645</v>
      </c>
      <c r="B397" t="s">
        <v>20</v>
      </c>
      <c r="C397" t="s">
        <v>48</v>
      </c>
      <c r="D397" t="s">
        <v>351</v>
      </c>
      <c r="E397">
        <v>984</v>
      </c>
      <c r="F397">
        <v>195</v>
      </c>
      <c r="G397">
        <v>523</v>
      </c>
      <c r="H397">
        <v>1</v>
      </c>
      <c r="Q397">
        <v>1</v>
      </c>
      <c r="R397">
        <v>1</v>
      </c>
      <c r="S397">
        <v>1</v>
      </c>
      <c r="Y397">
        <f t="shared" si="18"/>
        <v>993.34</v>
      </c>
      <c r="Z397">
        <f t="shared" si="19"/>
        <v>-9.3400000000000318</v>
      </c>
      <c r="AA397" s="9">
        <f t="shared" si="20"/>
        <v>-9.4918699186992191E-3</v>
      </c>
    </row>
    <row r="398" spans="1:27" x14ac:dyDescent="0.25">
      <c r="A398" s="3">
        <v>44645</v>
      </c>
      <c r="B398" t="s">
        <v>102</v>
      </c>
      <c r="C398" t="s">
        <v>102</v>
      </c>
      <c r="D398" t="s">
        <v>435</v>
      </c>
      <c r="E398">
        <v>500</v>
      </c>
      <c r="F398">
        <v>96</v>
      </c>
      <c r="G398">
        <v>116</v>
      </c>
      <c r="M398">
        <v>1</v>
      </c>
      <c r="Y398">
        <f t="shared" si="18"/>
        <v>351.6</v>
      </c>
      <c r="Z398">
        <f t="shared" si="19"/>
        <v>148.39999999999998</v>
      </c>
      <c r="AA398" s="9">
        <f t="shared" si="20"/>
        <v>0.29679999999999995</v>
      </c>
    </row>
    <row r="399" spans="1:27" x14ac:dyDescent="0.25">
      <c r="A399" s="3">
        <v>44645</v>
      </c>
      <c r="B399" t="s">
        <v>102</v>
      </c>
      <c r="C399" t="s">
        <v>34</v>
      </c>
      <c r="D399" t="s">
        <v>208</v>
      </c>
      <c r="E399">
        <v>414</v>
      </c>
      <c r="F399">
        <v>48</v>
      </c>
      <c r="G399">
        <v>68</v>
      </c>
      <c r="L399">
        <v>1</v>
      </c>
      <c r="M399">
        <v>1</v>
      </c>
      <c r="Y399">
        <f t="shared" si="18"/>
        <v>228.44</v>
      </c>
      <c r="Z399">
        <f t="shared" si="19"/>
        <v>185.56</v>
      </c>
      <c r="AA399" s="9">
        <f t="shared" si="20"/>
        <v>0.44821256038647345</v>
      </c>
    </row>
    <row r="400" spans="1:27" x14ac:dyDescent="0.25">
      <c r="A400" s="3">
        <v>44652</v>
      </c>
      <c r="B400" t="s">
        <v>102</v>
      </c>
      <c r="C400" t="s">
        <v>47</v>
      </c>
      <c r="D400" t="s">
        <v>423</v>
      </c>
      <c r="E400">
        <v>6427</v>
      </c>
      <c r="F400">
        <f>568+41+106</f>
        <v>715</v>
      </c>
      <c r="G400">
        <f>535+1557</f>
        <v>2092</v>
      </c>
      <c r="H400">
        <v>1</v>
      </c>
      <c r="S400">
        <v>1</v>
      </c>
      <c r="T400">
        <v>1</v>
      </c>
      <c r="V400">
        <v>1</v>
      </c>
      <c r="Y400">
        <f t="shared" si="18"/>
        <v>4549.5200000000004</v>
      </c>
      <c r="Z400">
        <f t="shared" si="19"/>
        <v>1877.4799999999996</v>
      </c>
      <c r="AA400" s="9">
        <f t="shared" si="20"/>
        <v>0.29212385249727707</v>
      </c>
    </row>
    <row r="401" spans="1:27" x14ac:dyDescent="0.25">
      <c r="A401" s="3">
        <v>44652</v>
      </c>
      <c r="B401" t="s">
        <v>102</v>
      </c>
      <c r="C401" t="s">
        <v>34</v>
      </c>
      <c r="D401" t="s">
        <v>410</v>
      </c>
      <c r="E401">
        <v>2600</v>
      </c>
      <c r="F401">
        <f>235+43</f>
        <v>278</v>
      </c>
      <c r="G401">
        <v>643</v>
      </c>
      <c r="M401">
        <v>1</v>
      </c>
      <c r="S401">
        <v>1</v>
      </c>
      <c r="Y401">
        <f t="shared" si="18"/>
        <v>1624.8</v>
      </c>
      <c r="Z401">
        <f t="shared" si="19"/>
        <v>975.2</v>
      </c>
      <c r="AA401" s="9">
        <f t="shared" si="20"/>
        <v>0.37507692307692309</v>
      </c>
    </row>
    <row r="402" spans="1:27" x14ac:dyDescent="0.25">
      <c r="A402" s="3">
        <v>44651</v>
      </c>
      <c r="B402" t="s">
        <v>102</v>
      </c>
      <c r="C402" t="s">
        <v>47</v>
      </c>
      <c r="D402" t="s">
        <v>429</v>
      </c>
      <c r="E402">
        <v>7104</v>
      </c>
      <c r="F402">
        <f>359+327</f>
        <v>686</v>
      </c>
      <c r="G402">
        <f>540+1765+173</f>
        <v>2478</v>
      </c>
      <c r="H402">
        <v>1</v>
      </c>
      <c r="Q402">
        <v>1</v>
      </c>
      <c r="T402">
        <v>1</v>
      </c>
      <c r="V402">
        <v>1</v>
      </c>
      <c r="Y402">
        <f t="shared" si="18"/>
        <v>5079.6399999999994</v>
      </c>
      <c r="Z402">
        <f t="shared" si="19"/>
        <v>2024.3600000000006</v>
      </c>
      <c r="AA402" s="9">
        <f t="shared" si="20"/>
        <v>0.28496058558558568</v>
      </c>
    </row>
    <row r="403" spans="1:27" x14ac:dyDescent="0.25">
      <c r="A403" s="3">
        <v>44651</v>
      </c>
      <c r="B403" t="s">
        <v>30</v>
      </c>
      <c r="C403" t="s">
        <v>48</v>
      </c>
      <c r="D403" t="s">
        <v>437</v>
      </c>
      <c r="E403">
        <v>4712</v>
      </c>
      <c r="F403">
        <v>569</v>
      </c>
      <c r="G403">
        <f>531+669</f>
        <v>1200</v>
      </c>
      <c r="H403">
        <v>1</v>
      </c>
      <c r="Q403">
        <v>1</v>
      </c>
      <c r="R403">
        <v>1</v>
      </c>
      <c r="Y403">
        <f t="shared" si="18"/>
        <v>3051.0200000000004</v>
      </c>
      <c r="Z403">
        <f t="shared" si="19"/>
        <v>1660.9799999999996</v>
      </c>
      <c r="AA403" s="9">
        <f t="shared" si="20"/>
        <v>0.35249999999999992</v>
      </c>
    </row>
    <row r="404" spans="1:27" x14ac:dyDescent="0.25">
      <c r="A404" s="3">
        <v>44656</v>
      </c>
      <c r="B404" t="s">
        <v>20</v>
      </c>
      <c r="C404" t="s">
        <v>48</v>
      </c>
      <c r="D404" t="s">
        <v>438</v>
      </c>
      <c r="E404">
        <v>1820</v>
      </c>
      <c r="F404">
        <f>67+106</f>
        <v>173</v>
      </c>
      <c r="G404">
        <f>365+337</f>
        <v>702</v>
      </c>
      <c r="I404">
        <v>1</v>
      </c>
      <c r="K404">
        <v>1</v>
      </c>
      <c r="L404">
        <v>1</v>
      </c>
      <c r="S404">
        <v>1</v>
      </c>
      <c r="Y404">
        <f t="shared" si="18"/>
        <v>1365.5</v>
      </c>
      <c r="Z404">
        <f t="shared" si="19"/>
        <v>454.5</v>
      </c>
      <c r="AA404" s="9">
        <f t="shared" si="20"/>
        <v>0.24972527472527473</v>
      </c>
    </row>
    <row r="405" spans="1:27" x14ac:dyDescent="0.25">
      <c r="A405" s="3">
        <v>44657</v>
      </c>
      <c r="B405" t="s">
        <v>20</v>
      </c>
      <c r="C405" t="s">
        <v>34</v>
      </c>
      <c r="D405" t="s">
        <v>441</v>
      </c>
      <c r="E405">
        <v>2075</v>
      </c>
      <c r="F405">
        <f>96+267</f>
        <v>363</v>
      </c>
      <c r="G405">
        <v>394</v>
      </c>
      <c r="M405">
        <v>1</v>
      </c>
      <c r="S405">
        <v>1</v>
      </c>
      <c r="Y405">
        <f t="shared" si="18"/>
        <v>1332.8</v>
      </c>
      <c r="Z405">
        <f t="shared" si="19"/>
        <v>742.2</v>
      </c>
      <c r="AA405" s="9">
        <f t="shared" si="20"/>
        <v>0.35768674698795183</v>
      </c>
    </row>
    <row r="406" spans="1:27" x14ac:dyDescent="0.25">
      <c r="A406" s="3">
        <v>44659</v>
      </c>
      <c r="B406" t="s">
        <v>102</v>
      </c>
      <c r="C406" t="s">
        <v>47</v>
      </c>
      <c r="D406" t="s">
        <v>442</v>
      </c>
      <c r="E406">
        <v>7650</v>
      </c>
      <c r="F406">
        <f>726+380</f>
        <v>1106</v>
      </c>
      <c r="G406">
        <f>541+1792</f>
        <v>2333</v>
      </c>
      <c r="H406">
        <v>1</v>
      </c>
      <c r="Q406">
        <v>1</v>
      </c>
      <c r="R406">
        <v>1</v>
      </c>
      <c r="Y406">
        <f t="shared" si="18"/>
        <v>5538.6</v>
      </c>
      <c r="Z406">
        <f t="shared" si="19"/>
        <v>2111.3999999999996</v>
      </c>
      <c r="AA406" s="9">
        <f t="shared" si="20"/>
        <v>0.27599999999999997</v>
      </c>
    </row>
    <row r="407" spans="1:27" x14ac:dyDescent="0.25">
      <c r="A407" s="3">
        <v>44659</v>
      </c>
      <c r="B407" t="s">
        <v>20</v>
      </c>
      <c r="C407" t="s">
        <v>34</v>
      </c>
      <c r="D407" t="s">
        <v>431</v>
      </c>
      <c r="E407">
        <v>5300</v>
      </c>
      <c r="F407">
        <f>95+182</f>
        <v>277</v>
      </c>
      <c r="G407">
        <f>595+888</f>
        <v>1483</v>
      </c>
      <c r="H407">
        <v>1</v>
      </c>
      <c r="V407">
        <v>1</v>
      </c>
      <c r="Y407">
        <f t="shared" si="18"/>
        <v>3165.7</v>
      </c>
      <c r="Z407">
        <f t="shared" si="19"/>
        <v>2134.3000000000002</v>
      </c>
      <c r="AA407" s="9">
        <f t="shared" si="20"/>
        <v>0.40269811320754723</v>
      </c>
    </row>
    <row r="408" spans="1:27" x14ac:dyDescent="0.25">
      <c r="A408" s="3">
        <v>44657</v>
      </c>
      <c r="B408" t="s">
        <v>30</v>
      </c>
      <c r="C408" t="s">
        <v>48</v>
      </c>
      <c r="D408" t="s">
        <v>439</v>
      </c>
      <c r="E408">
        <v>3650</v>
      </c>
      <c r="F408">
        <f>100+43</f>
        <v>143</v>
      </c>
      <c r="G408">
        <v>1256</v>
      </c>
      <c r="N408">
        <v>1</v>
      </c>
      <c r="Y408">
        <f t="shared" si="18"/>
        <v>2362.3000000000002</v>
      </c>
      <c r="Z408">
        <f t="shared" si="19"/>
        <v>1287.6999999999998</v>
      </c>
      <c r="AA408" s="9">
        <f t="shared" si="20"/>
        <v>0.35279452054794513</v>
      </c>
    </row>
    <row r="409" spans="1:27" x14ac:dyDescent="0.25">
      <c r="A409" s="3">
        <v>44671</v>
      </c>
      <c r="B409" t="s">
        <v>30</v>
      </c>
      <c r="C409" t="s">
        <v>47</v>
      </c>
      <c r="D409" t="s">
        <v>447</v>
      </c>
      <c r="E409">
        <v>4199</v>
      </c>
      <c r="F409">
        <f>501+156</f>
        <v>657</v>
      </c>
      <c r="G409">
        <v>393</v>
      </c>
      <c r="H409">
        <v>1</v>
      </c>
      <c r="Q409">
        <v>1</v>
      </c>
      <c r="R409">
        <v>1</v>
      </c>
      <c r="Y409">
        <f t="shared" si="18"/>
        <v>2207.44</v>
      </c>
      <c r="Z409">
        <f t="shared" si="19"/>
        <v>1991.56</v>
      </c>
      <c r="AA409" s="9">
        <f t="shared" si="20"/>
        <v>0.47429387949511786</v>
      </c>
    </row>
    <row r="410" spans="1:27" x14ac:dyDescent="0.25">
      <c r="A410" s="3">
        <v>44672</v>
      </c>
      <c r="B410" t="s">
        <v>102</v>
      </c>
      <c r="C410" t="s">
        <v>34</v>
      </c>
      <c r="D410" t="s">
        <v>444</v>
      </c>
      <c r="E410">
        <v>12785</v>
      </c>
      <c r="F410">
        <f>1467+139+400+133+70</f>
        <v>2209</v>
      </c>
      <c r="G410">
        <f>532+2277</f>
        <v>2809</v>
      </c>
      <c r="L410">
        <v>1</v>
      </c>
      <c r="M410">
        <v>1</v>
      </c>
      <c r="Q410">
        <v>1</v>
      </c>
      <c r="Y410">
        <f t="shared" si="18"/>
        <v>8563</v>
      </c>
      <c r="Z410">
        <f t="shared" si="19"/>
        <v>4222</v>
      </c>
      <c r="AA410" s="9">
        <f t="shared" si="20"/>
        <v>0.33023073914743839</v>
      </c>
    </row>
    <row r="411" spans="1:27" x14ac:dyDescent="0.25">
      <c r="A411" s="3">
        <v>44672</v>
      </c>
      <c r="B411" t="s">
        <v>30</v>
      </c>
      <c r="C411" t="s">
        <v>30</v>
      </c>
      <c r="D411" t="s">
        <v>450</v>
      </c>
      <c r="E411">
        <v>1300</v>
      </c>
      <c r="F411">
        <f>43+86</f>
        <v>129</v>
      </c>
      <c r="I411">
        <v>1</v>
      </c>
      <c r="L411">
        <v>1</v>
      </c>
      <c r="P411">
        <v>1</v>
      </c>
      <c r="Y411">
        <f t="shared" si="18"/>
        <v>479.9</v>
      </c>
      <c r="Z411">
        <f t="shared" si="19"/>
        <v>820.1</v>
      </c>
      <c r="AA411" s="9">
        <f t="shared" si="20"/>
        <v>0.63084615384615383</v>
      </c>
    </row>
    <row r="412" spans="1:27" x14ac:dyDescent="0.25">
      <c r="A412" s="3">
        <v>44671</v>
      </c>
      <c r="B412" t="s">
        <v>30</v>
      </c>
      <c r="C412" t="s">
        <v>30</v>
      </c>
      <c r="D412" t="s">
        <v>124</v>
      </c>
      <c r="E412">
        <v>350</v>
      </c>
      <c r="F412">
        <f>25+41</f>
        <v>66</v>
      </c>
      <c r="Y412">
        <f t="shared" si="18"/>
        <v>163.60000000000002</v>
      </c>
      <c r="Z412">
        <f t="shared" si="19"/>
        <v>186.39999999999998</v>
      </c>
      <c r="AA412" s="9">
        <f t="shared" si="20"/>
        <v>0.53257142857142847</v>
      </c>
    </row>
    <row r="413" spans="1:27" x14ac:dyDescent="0.25">
      <c r="A413" s="3">
        <v>44668</v>
      </c>
      <c r="B413" t="s">
        <v>30</v>
      </c>
      <c r="C413" t="s">
        <v>48</v>
      </c>
      <c r="D413" t="s">
        <v>446</v>
      </c>
      <c r="E413">
        <v>300</v>
      </c>
      <c r="F413">
        <v>70</v>
      </c>
      <c r="G413">
        <v>142</v>
      </c>
      <c r="O413">
        <v>1</v>
      </c>
      <c r="Y413">
        <f t="shared" si="18"/>
        <v>297</v>
      </c>
      <c r="Z413">
        <f t="shared" si="19"/>
        <v>3</v>
      </c>
      <c r="AA413" s="9">
        <f t="shared" si="20"/>
        <v>0.01</v>
      </c>
    </row>
    <row r="414" spans="1:27" x14ac:dyDescent="0.25">
      <c r="A414" s="3">
        <v>44672</v>
      </c>
      <c r="B414" t="s">
        <v>102</v>
      </c>
      <c r="C414" s="12" t="s">
        <v>34</v>
      </c>
      <c r="D414" t="s">
        <v>456</v>
      </c>
      <c r="E414">
        <v>5230</v>
      </c>
      <c r="F414">
        <v>249</v>
      </c>
      <c r="G414">
        <v>483</v>
      </c>
      <c r="I414">
        <v>1</v>
      </c>
      <c r="P414">
        <v>1</v>
      </c>
      <c r="S414">
        <v>1</v>
      </c>
      <c r="Y414">
        <f t="shared" si="18"/>
        <v>2116.6999999999998</v>
      </c>
      <c r="Z414">
        <f t="shared" si="19"/>
        <v>3113.3</v>
      </c>
      <c r="AA414" s="9">
        <f t="shared" si="20"/>
        <v>0.59527724665391968</v>
      </c>
    </row>
    <row r="415" spans="1:27" x14ac:dyDescent="0.25">
      <c r="A415" s="3">
        <v>44676</v>
      </c>
      <c r="B415" t="s">
        <v>20</v>
      </c>
      <c r="C415" t="s">
        <v>48</v>
      </c>
      <c r="D415" t="s">
        <v>485</v>
      </c>
      <c r="E415">
        <v>10800</v>
      </c>
      <c r="F415">
        <f>1208+400+267+667+415</f>
        <v>2957</v>
      </c>
      <c r="G415">
        <f>413+987+1100</f>
        <v>2500</v>
      </c>
      <c r="I415">
        <v>1</v>
      </c>
      <c r="K415">
        <v>1</v>
      </c>
      <c r="Y415">
        <f t="shared" si="18"/>
        <v>8560.7000000000007</v>
      </c>
      <c r="Z415">
        <f t="shared" si="19"/>
        <v>2239.2999999999993</v>
      </c>
      <c r="AA415" s="9">
        <f t="shared" si="20"/>
        <v>0.20734259259259252</v>
      </c>
    </row>
    <row r="416" spans="1:27" x14ac:dyDescent="0.25">
      <c r="A416" s="3">
        <v>44678</v>
      </c>
      <c r="B416" t="s">
        <v>20</v>
      </c>
      <c r="C416" t="s">
        <v>34</v>
      </c>
      <c r="D416" t="s">
        <v>453</v>
      </c>
      <c r="E416">
        <v>3234</v>
      </c>
      <c r="F416">
        <f>344+180+209+70</f>
        <v>803</v>
      </c>
      <c r="G416">
        <v>400</v>
      </c>
      <c r="L416">
        <v>1</v>
      </c>
      <c r="M416">
        <v>1</v>
      </c>
      <c r="O416">
        <v>1</v>
      </c>
      <c r="S416">
        <v>1</v>
      </c>
      <c r="Y416">
        <f t="shared" si="18"/>
        <v>2124.1400000000003</v>
      </c>
      <c r="Z416">
        <f t="shared" si="19"/>
        <v>1109.8599999999997</v>
      </c>
      <c r="AA416" s="9">
        <f t="shared" si="20"/>
        <v>0.34318491032776738</v>
      </c>
    </row>
    <row r="417" spans="1:27" x14ac:dyDescent="0.25">
      <c r="A417" s="3">
        <v>44678</v>
      </c>
      <c r="B417" t="s">
        <v>30</v>
      </c>
      <c r="C417" t="s">
        <v>34</v>
      </c>
      <c r="D417" t="s">
        <v>449</v>
      </c>
      <c r="E417">
        <v>1642</v>
      </c>
      <c r="F417">
        <v>86</v>
      </c>
      <c r="G417">
        <v>520</v>
      </c>
      <c r="H417">
        <v>1</v>
      </c>
      <c r="J417">
        <v>1</v>
      </c>
      <c r="Y417">
        <f t="shared" si="18"/>
        <v>1041.52</v>
      </c>
      <c r="Z417">
        <f t="shared" si="19"/>
        <v>600.48</v>
      </c>
      <c r="AA417" s="9">
        <f t="shared" si="20"/>
        <v>0.36570036540803896</v>
      </c>
    </row>
    <row r="418" spans="1:27" x14ac:dyDescent="0.25">
      <c r="A418" s="3">
        <v>44679</v>
      </c>
      <c r="B418" t="s">
        <v>102</v>
      </c>
      <c r="C418" t="s">
        <v>34</v>
      </c>
      <c r="D418" t="s">
        <v>454</v>
      </c>
      <c r="E418">
        <v>1540</v>
      </c>
      <c r="F418">
        <v>129</v>
      </c>
      <c r="G418">
        <v>615</v>
      </c>
      <c r="I418">
        <v>1</v>
      </c>
      <c r="L418">
        <v>1</v>
      </c>
      <c r="M418">
        <v>1</v>
      </c>
      <c r="O418">
        <v>1</v>
      </c>
      <c r="P418">
        <v>1</v>
      </c>
      <c r="Y418">
        <f t="shared" si="18"/>
        <v>1157.3</v>
      </c>
      <c r="Z418">
        <f t="shared" si="19"/>
        <v>382.70000000000005</v>
      </c>
      <c r="AA418" s="9">
        <f t="shared" si="20"/>
        <v>0.24850649350649354</v>
      </c>
    </row>
    <row r="419" spans="1:27" x14ac:dyDescent="0.25">
      <c r="A419" s="3">
        <v>44679</v>
      </c>
      <c r="B419" t="s">
        <v>102</v>
      </c>
      <c r="C419" t="s">
        <v>48</v>
      </c>
      <c r="D419" t="s">
        <v>342</v>
      </c>
      <c r="E419">
        <v>1197</v>
      </c>
      <c r="F419">
        <v>150</v>
      </c>
      <c r="G419">
        <v>350</v>
      </c>
      <c r="H419">
        <v>1</v>
      </c>
      <c r="Q419">
        <v>1</v>
      </c>
      <c r="R419">
        <v>1</v>
      </c>
      <c r="S419">
        <v>1</v>
      </c>
      <c r="T419">
        <v>1</v>
      </c>
      <c r="Y419">
        <f t="shared" si="18"/>
        <v>826.22</v>
      </c>
      <c r="Z419">
        <f t="shared" si="19"/>
        <v>370.78</v>
      </c>
      <c r="AA419" s="9">
        <f t="shared" si="20"/>
        <v>0.30975772765246445</v>
      </c>
    </row>
    <row r="420" spans="1:27" x14ac:dyDescent="0.25">
      <c r="A420" s="3">
        <v>40662</v>
      </c>
      <c r="B420" t="s">
        <v>102</v>
      </c>
      <c r="C420" t="s">
        <v>47</v>
      </c>
      <c r="D420" t="s">
        <v>448</v>
      </c>
      <c r="E420">
        <v>3175</v>
      </c>
      <c r="F420">
        <f>180+52</f>
        <v>232</v>
      </c>
      <c r="G420">
        <v>490</v>
      </c>
      <c r="H420">
        <v>1</v>
      </c>
      <c r="R420">
        <v>1</v>
      </c>
      <c r="V420">
        <v>1</v>
      </c>
      <c r="Y420">
        <f t="shared" si="18"/>
        <v>1570.7</v>
      </c>
      <c r="Z420">
        <f t="shared" si="19"/>
        <v>1604.3</v>
      </c>
      <c r="AA420" s="9">
        <f t="shared" si="20"/>
        <v>0.50529133858267716</v>
      </c>
    </row>
    <row r="421" spans="1:27" x14ac:dyDescent="0.25">
      <c r="A421" s="3">
        <v>44679</v>
      </c>
      <c r="B421" t="s">
        <v>30</v>
      </c>
      <c r="C421" t="s">
        <v>48</v>
      </c>
      <c r="D421" t="s">
        <v>452</v>
      </c>
      <c r="E421">
        <v>7218</v>
      </c>
      <c r="F421">
        <f>1067+8</f>
        <v>1075</v>
      </c>
      <c r="G421">
        <v>920</v>
      </c>
      <c r="L421">
        <v>1</v>
      </c>
      <c r="M421">
        <v>1</v>
      </c>
      <c r="P421">
        <v>1</v>
      </c>
      <c r="Y421">
        <f t="shared" si="18"/>
        <v>3979.1800000000003</v>
      </c>
      <c r="Z421">
        <f t="shared" si="19"/>
        <v>3238.8199999999997</v>
      </c>
      <c r="AA421" s="9">
        <f t="shared" si="20"/>
        <v>0.44871432529786642</v>
      </c>
    </row>
    <row r="422" spans="1:27" x14ac:dyDescent="0.25">
      <c r="A422" s="3">
        <v>44678</v>
      </c>
      <c r="B422" t="s">
        <v>102</v>
      </c>
      <c r="C422" t="s">
        <v>48</v>
      </c>
      <c r="D422" t="s">
        <v>451</v>
      </c>
      <c r="E422">
        <v>1780</v>
      </c>
      <c r="F422">
        <v>186</v>
      </c>
      <c r="G422">
        <v>385</v>
      </c>
      <c r="M422">
        <v>1</v>
      </c>
      <c r="P422">
        <v>1</v>
      </c>
      <c r="Y422">
        <f t="shared" si="18"/>
        <v>1052.4000000000001</v>
      </c>
      <c r="Z422">
        <f t="shared" si="19"/>
        <v>727.59999999999991</v>
      </c>
      <c r="AA422" s="9">
        <f t="shared" si="20"/>
        <v>0.40876404494382018</v>
      </c>
    </row>
    <row r="423" spans="1:27" x14ac:dyDescent="0.25">
      <c r="A423" s="3">
        <v>44687</v>
      </c>
      <c r="B423" t="s">
        <v>30</v>
      </c>
      <c r="C423" t="s">
        <v>48</v>
      </c>
      <c r="D423" t="s">
        <v>461</v>
      </c>
      <c r="E423">
        <v>2523</v>
      </c>
      <c r="F423">
        <f>43+400</f>
        <v>443</v>
      </c>
      <c r="G423">
        <v>357</v>
      </c>
      <c r="L423">
        <v>1</v>
      </c>
      <c r="M423">
        <v>1</v>
      </c>
      <c r="O423">
        <v>1</v>
      </c>
      <c r="Q423">
        <v>1</v>
      </c>
      <c r="Y423">
        <f t="shared" si="18"/>
        <v>1500.28</v>
      </c>
      <c r="Z423">
        <f t="shared" si="19"/>
        <v>1022.72</v>
      </c>
      <c r="AA423" s="9">
        <f t="shared" si="20"/>
        <v>0.40535869996036467</v>
      </c>
    </row>
    <row r="424" spans="1:27" x14ac:dyDescent="0.25">
      <c r="A424" s="3">
        <v>44687</v>
      </c>
      <c r="B424" t="s">
        <v>30</v>
      </c>
      <c r="C424" t="s">
        <v>463</v>
      </c>
      <c r="D424" t="s">
        <v>474</v>
      </c>
      <c r="E424">
        <v>9800</v>
      </c>
      <c r="F424">
        <f>33+1334+940+870+533+191</f>
        <v>3901</v>
      </c>
      <c r="G424">
        <f>2250+425</f>
        <v>2675</v>
      </c>
      <c r="I424">
        <v>1</v>
      </c>
      <c r="K424">
        <v>1</v>
      </c>
      <c r="L424">
        <v>1</v>
      </c>
      <c r="O424">
        <v>1</v>
      </c>
      <c r="Y424">
        <f t="shared" si="18"/>
        <v>9514.1</v>
      </c>
      <c r="Z424">
        <f t="shared" si="19"/>
        <v>285.89999999999964</v>
      </c>
      <c r="AA424" s="9">
        <f t="shared" si="20"/>
        <v>2.9173469387755065E-2</v>
      </c>
    </row>
    <row r="425" spans="1:27" x14ac:dyDescent="0.25">
      <c r="A425" s="3">
        <v>44687</v>
      </c>
      <c r="B425" t="s">
        <v>20</v>
      </c>
      <c r="C425" t="s">
        <v>47</v>
      </c>
      <c r="D425" t="s">
        <v>457</v>
      </c>
      <c r="E425">
        <v>8473</v>
      </c>
      <c r="F425">
        <v>1110</v>
      </c>
      <c r="G425">
        <f>2005+575</f>
        <v>2580</v>
      </c>
      <c r="H425">
        <v>1</v>
      </c>
      <c r="Q425">
        <v>1</v>
      </c>
      <c r="S425">
        <v>1</v>
      </c>
      <c r="V425">
        <v>1</v>
      </c>
      <c r="Y425">
        <f t="shared" si="18"/>
        <v>6003.98</v>
      </c>
      <c r="Z425">
        <f t="shared" si="19"/>
        <v>2469.0200000000004</v>
      </c>
      <c r="AA425" s="9">
        <f t="shared" si="20"/>
        <v>0.29139856013218463</v>
      </c>
    </row>
    <row r="426" spans="1:27" x14ac:dyDescent="0.25">
      <c r="A426" s="3">
        <v>44690</v>
      </c>
      <c r="B426" t="s">
        <v>102</v>
      </c>
      <c r="C426" t="s">
        <v>47</v>
      </c>
      <c r="D426" t="s">
        <v>458</v>
      </c>
      <c r="E426">
        <v>1062</v>
      </c>
      <c r="F426">
        <v>133</v>
      </c>
      <c r="G426">
        <v>330</v>
      </c>
      <c r="H426">
        <v>1</v>
      </c>
      <c r="Q426">
        <v>1</v>
      </c>
      <c r="R426">
        <v>1</v>
      </c>
      <c r="Y426">
        <f t="shared" si="18"/>
        <v>752.42000000000007</v>
      </c>
      <c r="Z426">
        <f t="shared" si="19"/>
        <v>309.57999999999993</v>
      </c>
      <c r="AA426" s="9">
        <f t="shared" si="20"/>
        <v>0.29150659133709972</v>
      </c>
    </row>
    <row r="427" spans="1:27" x14ac:dyDescent="0.25">
      <c r="A427" s="3">
        <v>44680</v>
      </c>
      <c r="B427" t="s">
        <v>20</v>
      </c>
      <c r="C427" t="s">
        <v>34</v>
      </c>
      <c r="D427" t="s">
        <v>455</v>
      </c>
      <c r="E427">
        <v>1975</v>
      </c>
      <c r="F427">
        <v>217</v>
      </c>
      <c r="G427">
        <v>310</v>
      </c>
      <c r="M427">
        <v>1</v>
      </c>
      <c r="Y427">
        <f t="shared" si="18"/>
        <v>1062.2</v>
      </c>
      <c r="Z427">
        <f t="shared" si="19"/>
        <v>912.8</v>
      </c>
      <c r="AA427" s="9">
        <f t="shared" si="20"/>
        <v>0.46217721518987337</v>
      </c>
    </row>
    <row r="428" spans="1:27" x14ac:dyDescent="0.25">
      <c r="A428" s="3">
        <v>44691</v>
      </c>
      <c r="B428" t="s">
        <v>30</v>
      </c>
      <c r="C428" t="s">
        <v>48</v>
      </c>
      <c r="D428" t="s">
        <v>459</v>
      </c>
      <c r="E428">
        <v>1800</v>
      </c>
      <c r="F428">
        <v>232</v>
      </c>
      <c r="G428">
        <f>200+400</f>
        <v>600</v>
      </c>
      <c r="P428">
        <v>1</v>
      </c>
      <c r="Y428">
        <f t="shared" si="18"/>
        <v>1323.2</v>
      </c>
      <c r="Z428">
        <f t="shared" si="19"/>
        <v>476.79999999999995</v>
      </c>
      <c r="AA428" s="9">
        <f t="shared" si="20"/>
        <v>0.26488888888888884</v>
      </c>
    </row>
    <row r="429" spans="1:27" x14ac:dyDescent="0.25">
      <c r="A429" s="3">
        <v>44696</v>
      </c>
      <c r="B429" t="s">
        <v>102</v>
      </c>
      <c r="C429" t="s">
        <v>34</v>
      </c>
      <c r="D429" t="s">
        <v>465</v>
      </c>
      <c r="E429">
        <v>144</v>
      </c>
      <c r="F429">
        <v>25</v>
      </c>
      <c r="G429">
        <v>105</v>
      </c>
      <c r="H429">
        <v>1</v>
      </c>
      <c r="R429">
        <v>1</v>
      </c>
      <c r="Y429">
        <f t="shared" si="18"/>
        <v>169.94</v>
      </c>
      <c r="Z429">
        <f t="shared" si="19"/>
        <v>-25.939999999999998</v>
      </c>
      <c r="AA429" s="9">
        <f t="shared" si="20"/>
        <v>-0.18013888888888888</v>
      </c>
    </row>
    <row r="430" spans="1:27" x14ac:dyDescent="0.25">
      <c r="A430" s="3">
        <v>44694</v>
      </c>
      <c r="B430" t="s">
        <v>102</v>
      </c>
      <c r="C430" t="s">
        <v>47</v>
      </c>
      <c r="D430" t="s">
        <v>467</v>
      </c>
      <c r="E430">
        <v>2580</v>
      </c>
      <c r="F430">
        <v>456</v>
      </c>
      <c r="G430">
        <v>821</v>
      </c>
      <c r="I430">
        <v>1</v>
      </c>
      <c r="L430">
        <v>1</v>
      </c>
      <c r="O430">
        <v>1</v>
      </c>
      <c r="S430">
        <v>1</v>
      </c>
      <c r="Y430">
        <f t="shared" si="18"/>
        <v>1993.4</v>
      </c>
      <c r="Z430">
        <f t="shared" si="19"/>
        <v>586.59999999999991</v>
      </c>
      <c r="AA430" s="9">
        <f t="shared" si="20"/>
        <v>0.22736434108527129</v>
      </c>
    </row>
    <row r="431" spans="1:27" x14ac:dyDescent="0.25">
      <c r="A431" s="3">
        <v>44699</v>
      </c>
      <c r="B431" t="s">
        <v>30</v>
      </c>
      <c r="C431" t="s">
        <v>34</v>
      </c>
      <c r="D431" t="s">
        <v>471</v>
      </c>
      <c r="E431">
        <v>3616</v>
      </c>
      <c r="F431">
        <v>484</v>
      </c>
      <c r="G431">
        <v>992</v>
      </c>
      <c r="H431">
        <v>1</v>
      </c>
      <c r="Q431">
        <v>1</v>
      </c>
      <c r="R431">
        <v>1</v>
      </c>
      <c r="S431">
        <v>1</v>
      </c>
      <c r="T431">
        <v>1</v>
      </c>
      <c r="Y431">
        <f t="shared" si="18"/>
        <v>2464.5600000000004</v>
      </c>
      <c r="Z431">
        <f t="shared" si="19"/>
        <v>1151.4399999999996</v>
      </c>
      <c r="AA431" s="9">
        <f t="shared" si="20"/>
        <v>0.3184292035398229</v>
      </c>
    </row>
    <row r="432" spans="1:27" x14ac:dyDescent="0.25">
      <c r="A432" s="3">
        <v>44696</v>
      </c>
      <c r="B432" t="s">
        <v>102</v>
      </c>
      <c r="C432" t="s">
        <v>47</v>
      </c>
      <c r="D432" t="s">
        <v>466</v>
      </c>
      <c r="E432">
        <v>1709</v>
      </c>
      <c r="F432">
        <v>113</v>
      </c>
      <c r="G432">
        <v>360</v>
      </c>
      <c r="Y432">
        <f t="shared" si="18"/>
        <v>928.6400000000001</v>
      </c>
      <c r="Z432">
        <f t="shared" si="19"/>
        <v>780.3599999999999</v>
      </c>
      <c r="AA432" s="9">
        <f t="shared" si="20"/>
        <v>0.45661790520772377</v>
      </c>
    </row>
    <row r="433" spans="1:27" x14ac:dyDescent="0.25">
      <c r="A433" s="3">
        <v>44696</v>
      </c>
      <c r="B433" t="s">
        <v>30</v>
      </c>
      <c r="C433" t="s">
        <v>34</v>
      </c>
      <c r="D433" t="s">
        <v>460</v>
      </c>
      <c r="E433">
        <v>2250</v>
      </c>
      <c r="F433">
        <v>172</v>
      </c>
      <c r="G433">
        <v>805</v>
      </c>
      <c r="L433">
        <v>1</v>
      </c>
      <c r="O433">
        <v>1</v>
      </c>
      <c r="P433">
        <v>1</v>
      </c>
      <c r="Y433">
        <f t="shared" si="18"/>
        <v>1579.2</v>
      </c>
      <c r="Z433">
        <f t="shared" si="19"/>
        <v>670.8</v>
      </c>
      <c r="AA433" s="9">
        <f t="shared" si="20"/>
        <v>0.29813333333333331</v>
      </c>
    </row>
    <row r="434" spans="1:27" x14ac:dyDescent="0.25">
      <c r="A434" s="3">
        <v>44696</v>
      </c>
      <c r="B434" t="s">
        <v>20</v>
      </c>
      <c r="C434" t="s">
        <v>48</v>
      </c>
      <c r="D434" t="s">
        <v>462</v>
      </c>
      <c r="E434">
        <v>5000</v>
      </c>
      <c r="F434">
        <f>207+66</f>
        <v>273</v>
      </c>
      <c r="G434">
        <v>1060</v>
      </c>
      <c r="I434">
        <v>1</v>
      </c>
      <c r="J434">
        <v>1</v>
      </c>
      <c r="P434">
        <v>1</v>
      </c>
      <c r="S434">
        <v>1</v>
      </c>
      <c r="Y434">
        <f t="shared" si="18"/>
        <v>2660.3</v>
      </c>
      <c r="Z434">
        <f t="shared" si="19"/>
        <v>2339.6999999999998</v>
      </c>
      <c r="AA434" s="9">
        <f t="shared" si="20"/>
        <v>0.46793999999999997</v>
      </c>
    </row>
    <row r="435" spans="1:27" x14ac:dyDescent="0.25">
      <c r="A435" s="3">
        <v>44696</v>
      </c>
      <c r="B435" t="s">
        <v>30</v>
      </c>
      <c r="C435" t="s">
        <v>47</v>
      </c>
      <c r="D435" t="s">
        <v>468</v>
      </c>
      <c r="E435">
        <v>1450</v>
      </c>
      <c r="F435">
        <v>50</v>
      </c>
      <c r="G435">
        <v>508</v>
      </c>
      <c r="O435">
        <v>1</v>
      </c>
      <c r="P435">
        <v>1</v>
      </c>
      <c r="Y435">
        <f t="shared" si="18"/>
        <v>940</v>
      </c>
      <c r="Z435">
        <f t="shared" si="19"/>
        <v>510</v>
      </c>
      <c r="AA435" s="9">
        <f t="shared" si="20"/>
        <v>0.35172413793103446</v>
      </c>
    </row>
    <row r="436" spans="1:27" x14ac:dyDescent="0.25">
      <c r="A436" s="3">
        <v>44700</v>
      </c>
      <c r="B436" t="s">
        <v>20</v>
      </c>
      <c r="C436" t="s">
        <v>48</v>
      </c>
      <c r="D436" t="s">
        <v>470</v>
      </c>
      <c r="E436">
        <v>7325</v>
      </c>
      <c r="F436">
        <f>45+640</f>
        <v>685</v>
      </c>
      <c r="G436">
        <f>519+1551</f>
        <v>2070</v>
      </c>
      <c r="I436">
        <v>1</v>
      </c>
      <c r="J436">
        <v>1</v>
      </c>
      <c r="P436">
        <v>1</v>
      </c>
      <c r="Y436">
        <f t="shared" si="18"/>
        <v>4728</v>
      </c>
      <c r="Z436">
        <f t="shared" si="19"/>
        <v>2597</v>
      </c>
      <c r="AA436" s="9">
        <f t="shared" si="20"/>
        <v>0.35453924914675766</v>
      </c>
    </row>
    <row r="437" spans="1:27" x14ac:dyDescent="0.25">
      <c r="A437" s="3">
        <v>44694</v>
      </c>
      <c r="B437" t="s">
        <v>30</v>
      </c>
      <c r="C437" t="s">
        <v>30</v>
      </c>
      <c r="D437" t="s">
        <v>473</v>
      </c>
      <c r="E437">
        <v>500</v>
      </c>
      <c r="F437">
        <v>106</v>
      </c>
      <c r="G437">
        <v>126</v>
      </c>
      <c r="P437">
        <v>1</v>
      </c>
      <c r="Y437">
        <f t="shared" si="18"/>
        <v>372.6</v>
      </c>
      <c r="Z437">
        <f t="shared" si="19"/>
        <v>127.39999999999998</v>
      </c>
      <c r="AA437" s="9">
        <f t="shared" si="20"/>
        <v>0.25479999999999997</v>
      </c>
    </row>
    <row r="438" spans="1:27" x14ac:dyDescent="0.25">
      <c r="A438" s="3">
        <v>44700</v>
      </c>
      <c r="B438" t="s">
        <v>30</v>
      </c>
      <c r="C438" t="s">
        <v>47</v>
      </c>
      <c r="D438" t="s">
        <v>472</v>
      </c>
      <c r="E438">
        <v>600</v>
      </c>
      <c r="F438">
        <v>86</v>
      </c>
      <c r="G438">
        <v>312</v>
      </c>
      <c r="M438">
        <v>1</v>
      </c>
      <c r="P438">
        <v>1</v>
      </c>
      <c r="Y438">
        <f t="shared" si="18"/>
        <v>562.6</v>
      </c>
      <c r="Z438">
        <f t="shared" si="19"/>
        <v>37.399999999999977</v>
      </c>
      <c r="AA438" s="9">
        <f t="shared" si="20"/>
        <v>6.2333333333333296E-2</v>
      </c>
    </row>
    <row r="439" spans="1:27" x14ac:dyDescent="0.25">
      <c r="A439" s="3">
        <v>44701</v>
      </c>
      <c r="B439" t="s">
        <v>102</v>
      </c>
      <c r="C439" t="s">
        <v>30</v>
      </c>
      <c r="D439" t="s">
        <v>464</v>
      </c>
      <c r="E439">
        <v>782</v>
      </c>
      <c r="F439">
        <f>96+25</f>
        <v>121</v>
      </c>
      <c r="G439">
        <v>217</v>
      </c>
      <c r="H439">
        <v>1</v>
      </c>
      <c r="L439">
        <v>1</v>
      </c>
      <c r="V439">
        <v>1</v>
      </c>
      <c r="Y439">
        <f t="shared" si="18"/>
        <v>553.42000000000007</v>
      </c>
      <c r="Z439">
        <f t="shared" si="19"/>
        <v>228.57999999999993</v>
      </c>
      <c r="AA439" s="9">
        <f t="shared" si="20"/>
        <v>0.29230179028132985</v>
      </c>
    </row>
    <row r="440" spans="1:27" x14ac:dyDescent="0.25">
      <c r="A440" s="3">
        <v>44701</v>
      </c>
      <c r="B440" t="s">
        <v>102</v>
      </c>
      <c r="C440" t="s">
        <v>47</v>
      </c>
      <c r="D440" t="s">
        <v>476</v>
      </c>
      <c r="E440">
        <v>825</v>
      </c>
      <c r="F440">
        <f>45+131</f>
        <v>176</v>
      </c>
      <c r="G440">
        <v>337</v>
      </c>
      <c r="L440">
        <v>1</v>
      </c>
      <c r="M440">
        <v>1</v>
      </c>
      <c r="S440">
        <v>1</v>
      </c>
      <c r="Y440">
        <f t="shared" si="18"/>
        <v>745.1</v>
      </c>
      <c r="Z440">
        <f t="shared" si="19"/>
        <v>79.899999999999977</v>
      </c>
      <c r="AA440" s="9">
        <f>Z440/E440</f>
        <v>9.6848484848484823E-2</v>
      </c>
    </row>
    <row r="441" spans="1:27" x14ac:dyDescent="0.25">
      <c r="A441" s="3">
        <v>44701</v>
      </c>
      <c r="B441" t="s">
        <v>20</v>
      </c>
      <c r="C441" t="s">
        <v>48</v>
      </c>
      <c r="D441" t="s">
        <v>475</v>
      </c>
      <c r="E441">
        <v>645</v>
      </c>
      <c r="F441">
        <v>70</v>
      </c>
      <c r="G441">
        <v>225</v>
      </c>
      <c r="L441">
        <v>1</v>
      </c>
      <c r="M441">
        <v>1</v>
      </c>
      <c r="P441">
        <v>1</v>
      </c>
      <c r="Y441">
        <f t="shared" si="18"/>
        <v>469.70000000000005</v>
      </c>
      <c r="Z441">
        <f t="shared" si="19"/>
        <v>175.29999999999995</v>
      </c>
      <c r="AA441" s="9">
        <f>Z441/E441</f>
        <v>0.27178294573643402</v>
      </c>
    </row>
    <row r="442" spans="1:27" x14ac:dyDescent="0.25">
      <c r="A442" s="3">
        <v>44705</v>
      </c>
      <c r="B442" t="s">
        <v>30</v>
      </c>
      <c r="C442" t="s">
        <v>48</v>
      </c>
      <c r="D442" t="s">
        <v>478</v>
      </c>
      <c r="E442">
        <v>5000</v>
      </c>
      <c r="F442">
        <v>451</v>
      </c>
      <c r="G442">
        <v>305</v>
      </c>
      <c r="I442">
        <v>1</v>
      </c>
      <c r="M442">
        <v>1</v>
      </c>
      <c r="O442">
        <v>1</v>
      </c>
      <c r="S442">
        <v>1</v>
      </c>
      <c r="Y442">
        <f t="shared" si="18"/>
        <v>2101.1</v>
      </c>
      <c r="Z442">
        <f t="shared" si="19"/>
        <v>2898.9</v>
      </c>
      <c r="AA442" s="9">
        <f>Z442/E442</f>
        <v>0.57978000000000007</v>
      </c>
    </row>
    <row r="443" spans="1:27" x14ac:dyDescent="0.25">
      <c r="A443" s="3">
        <v>44708</v>
      </c>
      <c r="B443" t="s">
        <v>20</v>
      </c>
      <c r="C443" t="s">
        <v>47</v>
      </c>
      <c r="D443" t="s">
        <v>477</v>
      </c>
      <c r="E443">
        <v>7821</v>
      </c>
      <c r="F443">
        <f>835+400</f>
        <v>1235</v>
      </c>
      <c r="G443">
        <f>458+1370</f>
        <v>1828</v>
      </c>
      <c r="K443">
        <v>1</v>
      </c>
      <c r="M443">
        <v>1</v>
      </c>
      <c r="Y443">
        <f t="shared" si="18"/>
        <v>5219.96</v>
      </c>
      <c r="Z443">
        <f t="shared" si="19"/>
        <v>2601.04</v>
      </c>
      <c r="AA443" s="9">
        <f t="shared" ref="AA443:AA455" si="21">Z443/E443</f>
        <v>0.33257128244470019</v>
      </c>
    </row>
    <row r="444" spans="1:27" x14ac:dyDescent="0.25">
      <c r="A444" s="3">
        <v>44713</v>
      </c>
      <c r="B444" t="s">
        <v>20</v>
      </c>
      <c r="C444" t="s">
        <v>34</v>
      </c>
      <c r="D444" t="s">
        <v>480</v>
      </c>
      <c r="E444">
        <f>965+1256</f>
        <v>2221</v>
      </c>
      <c r="F444">
        <v>217</v>
      </c>
      <c r="L444">
        <v>1</v>
      </c>
      <c r="M444">
        <v>1</v>
      </c>
      <c r="O444">
        <v>1</v>
      </c>
      <c r="P444">
        <v>1</v>
      </c>
      <c r="Y444">
        <f t="shared" si="18"/>
        <v>816.16000000000008</v>
      </c>
      <c r="Z444">
        <f t="shared" si="19"/>
        <v>1404.84</v>
      </c>
      <c r="AA444" s="9">
        <f t="shared" si="21"/>
        <v>0.63252588923908148</v>
      </c>
    </row>
    <row r="445" spans="1:27" x14ac:dyDescent="0.25">
      <c r="A445" s="3">
        <v>44713</v>
      </c>
      <c r="B445" t="s">
        <v>20</v>
      </c>
      <c r="C445" t="s">
        <v>48</v>
      </c>
      <c r="D445" t="s">
        <v>481</v>
      </c>
      <c r="E445">
        <v>3062</v>
      </c>
      <c r="F445">
        <v>458</v>
      </c>
      <c r="G445">
        <v>450</v>
      </c>
      <c r="H445">
        <v>1</v>
      </c>
      <c r="Q445">
        <v>1</v>
      </c>
      <c r="T445">
        <v>1</v>
      </c>
      <c r="V445">
        <v>1</v>
      </c>
      <c r="Y445">
        <f t="shared" si="18"/>
        <v>1749.92</v>
      </c>
      <c r="Z445">
        <f t="shared" si="19"/>
        <v>1312.08</v>
      </c>
      <c r="AA445" s="9">
        <f t="shared" si="21"/>
        <v>0.42850424559111688</v>
      </c>
    </row>
    <row r="446" spans="1:27" x14ac:dyDescent="0.25">
      <c r="A446" s="3">
        <v>44712</v>
      </c>
      <c r="B446" t="s">
        <v>102</v>
      </c>
      <c r="C446" t="s">
        <v>34</v>
      </c>
      <c r="D446" t="s">
        <v>445</v>
      </c>
      <c r="E446">
        <v>1044</v>
      </c>
      <c r="F446">
        <f>70+39</f>
        <v>109</v>
      </c>
      <c r="G446">
        <v>352</v>
      </c>
      <c r="L446">
        <v>1</v>
      </c>
      <c r="R446">
        <v>1</v>
      </c>
      <c r="Y446">
        <f t="shared" si="18"/>
        <v>743.33999999999992</v>
      </c>
      <c r="Z446">
        <f t="shared" si="19"/>
        <v>300.66000000000008</v>
      </c>
      <c r="AA446" s="9">
        <f t="shared" si="21"/>
        <v>0.28798850574712653</v>
      </c>
    </row>
    <row r="447" spans="1:27" x14ac:dyDescent="0.25">
      <c r="A447" s="3">
        <v>44715</v>
      </c>
      <c r="B447" t="s">
        <v>102</v>
      </c>
      <c r="C447" t="s">
        <v>47</v>
      </c>
      <c r="D447" t="s">
        <v>482</v>
      </c>
      <c r="E447">
        <v>7200</v>
      </c>
      <c r="F447">
        <f>311+70+21</f>
        <v>402</v>
      </c>
      <c r="L447">
        <v>1</v>
      </c>
      <c r="M447">
        <v>1</v>
      </c>
      <c r="O447">
        <v>1</v>
      </c>
      <c r="Y447">
        <f t="shared" si="18"/>
        <v>2314.1999999999998</v>
      </c>
      <c r="Z447">
        <f t="shared" si="19"/>
        <v>4885.8</v>
      </c>
      <c r="AA447" s="9">
        <f t="shared" si="21"/>
        <v>0.67858333333333332</v>
      </c>
    </row>
    <row r="448" spans="1:27" x14ac:dyDescent="0.25">
      <c r="A448" s="3">
        <v>44715</v>
      </c>
      <c r="B448" t="s">
        <v>102</v>
      </c>
      <c r="C448" t="s">
        <v>48</v>
      </c>
      <c r="D448" t="s">
        <v>483</v>
      </c>
      <c r="E448">
        <v>1150</v>
      </c>
      <c r="F448">
        <v>129</v>
      </c>
      <c r="I448">
        <v>1</v>
      </c>
      <c r="Y448">
        <f t="shared" si="18"/>
        <v>440.9</v>
      </c>
      <c r="Z448">
        <f t="shared" si="19"/>
        <v>709.1</v>
      </c>
      <c r="AA448" s="9">
        <f t="shared" si="21"/>
        <v>0.61660869565217391</v>
      </c>
    </row>
    <row r="449" spans="1:27" x14ac:dyDescent="0.25">
      <c r="A449" s="3">
        <v>44715</v>
      </c>
      <c r="B449" t="s">
        <v>102</v>
      </c>
      <c r="C449" t="s">
        <v>34</v>
      </c>
      <c r="D449" t="s">
        <v>484</v>
      </c>
      <c r="E449">
        <v>1209</v>
      </c>
      <c r="F449">
        <v>198</v>
      </c>
      <c r="Y449">
        <f t="shared" si="18"/>
        <v>532.1400000000001</v>
      </c>
      <c r="Z449">
        <f t="shared" si="19"/>
        <v>676.8599999999999</v>
      </c>
      <c r="AA449" s="9">
        <f t="shared" si="21"/>
        <v>0.55985111662531006</v>
      </c>
    </row>
    <row r="450" spans="1:27" x14ac:dyDescent="0.25">
      <c r="A450" s="3">
        <v>44721</v>
      </c>
      <c r="B450" t="s">
        <v>20</v>
      </c>
      <c r="C450" t="s">
        <v>34</v>
      </c>
      <c r="D450" t="s">
        <v>487</v>
      </c>
      <c r="E450">
        <v>6532</v>
      </c>
      <c r="F450">
        <v>850</v>
      </c>
      <c r="H450">
        <v>1</v>
      </c>
      <c r="Q450">
        <v>1</v>
      </c>
      <c r="R450">
        <v>1</v>
      </c>
      <c r="Y450">
        <f t="shared" si="18"/>
        <v>2633.32</v>
      </c>
      <c r="Z450">
        <f t="shared" si="19"/>
        <v>3898.68</v>
      </c>
      <c r="AA450" s="9">
        <f t="shared" si="21"/>
        <v>0.59685854255970605</v>
      </c>
    </row>
    <row r="451" spans="1:27" x14ac:dyDescent="0.25">
      <c r="A451" s="3">
        <v>44721</v>
      </c>
      <c r="B451" t="s">
        <v>31</v>
      </c>
      <c r="C451" t="s">
        <v>48</v>
      </c>
      <c r="D451" t="s">
        <v>489</v>
      </c>
      <c r="E451">
        <v>4006</v>
      </c>
      <c r="F451">
        <f>41+774</f>
        <v>815</v>
      </c>
      <c r="H451">
        <v>1</v>
      </c>
      <c r="Q451">
        <v>1</v>
      </c>
      <c r="R451">
        <v>1</v>
      </c>
      <c r="S451">
        <v>1</v>
      </c>
      <c r="T451">
        <v>1</v>
      </c>
      <c r="Y451">
        <f t="shared" si="18"/>
        <v>1938.06</v>
      </c>
      <c r="Z451">
        <f t="shared" si="19"/>
        <v>2067.94</v>
      </c>
      <c r="AA451" s="9">
        <f t="shared" si="21"/>
        <v>0.51621068397403891</v>
      </c>
    </row>
    <row r="452" spans="1:27" x14ac:dyDescent="0.25">
      <c r="A452" s="3">
        <v>44722</v>
      </c>
      <c r="B452" t="s">
        <v>20</v>
      </c>
      <c r="C452"/>
      <c r="D452" t="s">
        <v>486</v>
      </c>
      <c r="E452">
        <v>2080</v>
      </c>
      <c r="F452">
        <f>104+52</f>
        <v>156</v>
      </c>
      <c r="V452">
        <v>1</v>
      </c>
      <c r="Y452">
        <f t="shared" si="18"/>
        <v>712.40000000000009</v>
      </c>
      <c r="Z452">
        <f t="shared" si="19"/>
        <v>1367.6</v>
      </c>
      <c r="AA452" s="9">
        <f t="shared" si="21"/>
        <v>0.65749999999999997</v>
      </c>
    </row>
    <row r="453" spans="1:27" x14ac:dyDescent="0.25">
      <c r="A453" s="3">
        <v>44722</v>
      </c>
      <c r="B453" t="s">
        <v>20</v>
      </c>
      <c r="C453"/>
      <c r="D453" t="s">
        <v>488</v>
      </c>
      <c r="E453">
        <v>1638</v>
      </c>
      <c r="F453">
        <v>77</v>
      </c>
      <c r="R453">
        <v>1</v>
      </c>
      <c r="Y453">
        <f t="shared" si="18"/>
        <v>510.58</v>
      </c>
      <c r="Z453">
        <f t="shared" si="19"/>
        <v>1127.42</v>
      </c>
      <c r="AA453" s="9">
        <f t="shared" si="21"/>
        <v>0.68829059829059835</v>
      </c>
    </row>
    <row r="454" spans="1:27" x14ac:dyDescent="0.25">
      <c r="A454" s="3">
        <v>44722</v>
      </c>
      <c r="B454" t="s">
        <v>31</v>
      </c>
      <c r="C454" t="s">
        <v>47</v>
      </c>
      <c r="D454" t="s">
        <v>490</v>
      </c>
      <c r="E454">
        <v>815</v>
      </c>
      <c r="F454">
        <f>117+39</f>
        <v>156</v>
      </c>
      <c r="H454">
        <v>1</v>
      </c>
      <c r="Q454">
        <v>1</v>
      </c>
      <c r="R454">
        <v>1</v>
      </c>
      <c r="U454">
        <v>1</v>
      </c>
      <c r="Y454">
        <f t="shared" ref="Y454:Y455" si="22">G454+F454*1.1+E454*0.26</f>
        <v>383.5</v>
      </c>
      <c r="Z454">
        <f t="shared" ref="Z454:Z455" si="23">E454-Y454</f>
        <v>431.5</v>
      </c>
      <c r="AA454" s="9">
        <f t="shared" si="21"/>
        <v>0.52944785276073625</v>
      </c>
    </row>
    <row r="455" spans="1:27" x14ac:dyDescent="0.25">
      <c r="A455" s="3">
        <v>44722</v>
      </c>
      <c r="B455" t="s">
        <v>31</v>
      </c>
      <c r="C455" t="s">
        <v>34</v>
      </c>
      <c r="D455" t="s">
        <v>467</v>
      </c>
      <c r="E455">
        <v>683</v>
      </c>
      <c r="F455">
        <v>88</v>
      </c>
      <c r="J455">
        <v>1</v>
      </c>
      <c r="K455">
        <v>1</v>
      </c>
      <c r="L455">
        <v>1</v>
      </c>
      <c r="P455">
        <v>1</v>
      </c>
      <c r="Y455">
        <f t="shared" si="22"/>
        <v>274.38</v>
      </c>
      <c r="Z455">
        <f t="shared" si="23"/>
        <v>408.62</v>
      </c>
      <c r="AA455" s="9">
        <f t="shared" si="21"/>
        <v>0.59827232796486096</v>
      </c>
    </row>
  </sheetData>
  <conditionalFormatting sqref="Z1:Z91 AA2:AA91 Z92:AA132 Z119:Z1048576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9E69-F7D2-884E-84BC-2B9EAECCADE0}">
  <dimension ref="A1:G21"/>
  <sheetViews>
    <sheetView zoomScaleNormal="100" workbookViewId="0">
      <selection activeCell="F20" sqref="F20"/>
    </sheetView>
  </sheetViews>
  <sheetFormatPr defaultColWidth="10.625" defaultRowHeight="15.75" x14ac:dyDescent="0.25"/>
  <sheetData>
    <row r="1" spans="1:7" x14ac:dyDescent="0.25">
      <c r="A1" s="4" t="s">
        <v>19</v>
      </c>
      <c r="B1" s="1" t="s">
        <v>15</v>
      </c>
      <c r="C1" s="2" t="s">
        <v>17</v>
      </c>
      <c r="D1" s="2" t="s">
        <v>16</v>
      </c>
      <c r="E1" s="2" t="s">
        <v>18</v>
      </c>
      <c r="F1" s="2" t="s">
        <v>13</v>
      </c>
      <c r="G1" s="2" t="s">
        <v>201</v>
      </c>
    </row>
    <row r="2" spans="1:7" x14ac:dyDescent="0.25">
      <c r="B2" t="s">
        <v>31</v>
      </c>
      <c r="C2" t="s">
        <v>310</v>
      </c>
      <c r="D2" t="s">
        <v>216</v>
      </c>
      <c r="F2">
        <f>140+24+140+24+52+134</f>
        <v>514</v>
      </c>
      <c r="G2">
        <f>280+610+375</f>
        <v>1265</v>
      </c>
    </row>
    <row r="3" spans="1:7" x14ac:dyDescent="0.25">
      <c r="B3" t="s">
        <v>31</v>
      </c>
      <c r="C3" t="s">
        <v>48</v>
      </c>
      <c r="D3" t="s">
        <v>322</v>
      </c>
      <c r="F3">
        <f>554+34</f>
        <v>588</v>
      </c>
      <c r="G3">
        <f>320+1750+930+110</f>
        <v>3110</v>
      </c>
    </row>
    <row r="4" spans="1:7" x14ac:dyDescent="0.25">
      <c r="B4" t="s">
        <v>30</v>
      </c>
      <c r="C4" t="s">
        <v>34</v>
      </c>
      <c r="D4" t="s">
        <v>374</v>
      </c>
      <c r="F4">
        <f>295+204+113+183</f>
        <v>795</v>
      </c>
      <c r="G4">
        <f>426+383+351</f>
        <v>1160</v>
      </c>
    </row>
    <row r="5" spans="1:7" x14ac:dyDescent="0.25">
      <c r="B5" t="s">
        <v>30</v>
      </c>
      <c r="D5" t="s">
        <v>391</v>
      </c>
      <c r="F5">
        <v>68</v>
      </c>
    </row>
    <row r="6" spans="1:7" x14ac:dyDescent="0.25">
      <c r="B6" t="s">
        <v>20</v>
      </c>
      <c r="D6" t="s">
        <v>121</v>
      </c>
      <c r="F6">
        <v>29</v>
      </c>
    </row>
    <row r="7" spans="1:7" x14ac:dyDescent="0.25">
      <c r="B7" t="s">
        <v>30</v>
      </c>
      <c r="D7" t="s">
        <v>411</v>
      </c>
      <c r="F7">
        <f>70+70</f>
        <v>140</v>
      </c>
    </row>
    <row r="8" spans="1:7" x14ac:dyDescent="0.25">
      <c r="B8" t="s">
        <v>30</v>
      </c>
      <c r="C8" t="s">
        <v>48</v>
      </c>
      <c r="D8" t="s">
        <v>416</v>
      </c>
      <c r="F8">
        <v>229</v>
      </c>
      <c r="G8">
        <v>398</v>
      </c>
    </row>
    <row r="9" spans="1:7" x14ac:dyDescent="0.25">
      <c r="B9" t="s">
        <v>20</v>
      </c>
      <c r="D9" t="s">
        <v>432</v>
      </c>
      <c r="F9">
        <v>279</v>
      </c>
    </row>
    <row r="10" spans="1:7" x14ac:dyDescent="0.25">
      <c r="B10" t="s">
        <v>30</v>
      </c>
      <c r="C10" t="s">
        <v>48</v>
      </c>
      <c r="D10" t="s">
        <v>436</v>
      </c>
      <c r="F10">
        <f>234+50+130+39+130+190</f>
        <v>773</v>
      </c>
      <c r="G10">
        <f>2661+1041+135</f>
        <v>3837</v>
      </c>
    </row>
    <row r="11" spans="1:7" x14ac:dyDescent="0.25">
      <c r="B11" t="s">
        <v>20</v>
      </c>
      <c r="D11" t="s">
        <v>440</v>
      </c>
      <c r="F11">
        <f>265+153</f>
        <v>418</v>
      </c>
      <c r="G11">
        <v>350</v>
      </c>
    </row>
    <row r="12" spans="1:7" x14ac:dyDescent="0.25">
      <c r="B12" t="s">
        <v>20</v>
      </c>
      <c r="C12" t="s">
        <v>48</v>
      </c>
      <c r="D12" t="s">
        <v>469</v>
      </c>
      <c r="F12">
        <v>88</v>
      </c>
      <c r="G12">
        <v>380</v>
      </c>
    </row>
    <row r="13" spans="1:7" x14ac:dyDescent="0.25">
      <c r="B13" t="s">
        <v>20</v>
      </c>
      <c r="C13" t="s">
        <v>34</v>
      </c>
      <c r="D13" t="s">
        <v>479</v>
      </c>
      <c r="F13">
        <f>209+70</f>
        <v>279</v>
      </c>
      <c r="G13">
        <f>405+390</f>
        <v>795</v>
      </c>
    </row>
    <row r="14" spans="1:7" x14ac:dyDescent="0.25">
      <c r="B14" t="s">
        <v>30</v>
      </c>
      <c r="D14" t="s">
        <v>319</v>
      </c>
      <c r="F14">
        <v>400</v>
      </c>
    </row>
    <row r="15" spans="1:7" x14ac:dyDescent="0.25">
      <c r="B15" t="s">
        <v>20</v>
      </c>
      <c r="D15" t="s">
        <v>491</v>
      </c>
      <c r="F15">
        <v>1927</v>
      </c>
    </row>
    <row r="16" spans="1:7" x14ac:dyDescent="0.25">
      <c r="B16" t="s">
        <v>31</v>
      </c>
      <c r="D16" t="s">
        <v>63</v>
      </c>
      <c r="F16">
        <f>74+78</f>
        <v>152</v>
      </c>
    </row>
    <row r="17" spans="2:6" x14ac:dyDescent="0.25">
      <c r="B17" t="s">
        <v>31</v>
      </c>
      <c r="D17" t="s">
        <v>492</v>
      </c>
      <c r="F17">
        <f>128+404</f>
        <v>532</v>
      </c>
    </row>
    <row r="18" spans="2:6" x14ac:dyDescent="0.25">
      <c r="B18" t="s">
        <v>31</v>
      </c>
      <c r="D18" t="s">
        <v>493</v>
      </c>
      <c r="F18">
        <v>133</v>
      </c>
    </row>
    <row r="19" spans="2:6" x14ac:dyDescent="0.25">
      <c r="B19" t="s">
        <v>30</v>
      </c>
      <c r="D19" t="s">
        <v>410</v>
      </c>
      <c r="F19">
        <v>195</v>
      </c>
    </row>
    <row r="20" spans="2:6" x14ac:dyDescent="0.25">
      <c r="B20" t="s">
        <v>31</v>
      </c>
      <c r="D20" t="s">
        <v>494</v>
      </c>
      <c r="F20">
        <v>109</v>
      </c>
    </row>
    <row r="21" spans="2:6" x14ac:dyDescent="0.25">
      <c r="B21" t="s">
        <v>31</v>
      </c>
      <c r="D21" t="s">
        <v>44</v>
      </c>
      <c r="F21">
        <v>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2C16-5909-544B-8B36-CA5667FA6AA7}">
  <dimension ref="A1:S21"/>
  <sheetViews>
    <sheetView topLeftCell="K5" workbookViewId="0">
      <selection activeCell="S31" sqref="S31"/>
    </sheetView>
  </sheetViews>
  <sheetFormatPr defaultColWidth="10.625" defaultRowHeight="15.75" x14ac:dyDescent="0.25"/>
  <cols>
    <col min="1" max="1" width="24.875" customWidth="1"/>
    <col min="2" max="2" width="10.875" customWidth="1"/>
    <col min="5" max="5" width="14.625" customWidth="1"/>
    <col min="6" max="6" width="9.5" customWidth="1"/>
    <col min="7" max="7" width="5.125" customWidth="1"/>
    <col min="8" max="8" width="17.375" customWidth="1"/>
    <col min="10" max="10" width="14.875" customWidth="1"/>
    <col min="12" max="12" width="5.375" customWidth="1"/>
    <col min="13" max="13" width="14.125" customWidth="1"/>
  </cols>
  <sheetData>
    <row r="1" spans="1:19" ht="21" x14ac:dyDescent="0.35">
      <c r="A1" s="24" t="s">
        <v>138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36" customHeight="1" x14ac:dyDescent="0.3">
      <c r="A2" s="14" t="s">
        <v>139</v>
      </c>
      <c r="B2" s="25">
        <f>SUM(Finished_Jobs!E:E)</f>
        <v>1324872</v>
      </c>
      <c r="C2" s="26"/>
      <c r="E2" s="21" t="s">
        <v>148</v>
      </c>
      <c r="F2" s="37" t="s">
        <v>147</v>
      </c>
      <c r="G2" s="37"/>
      <c r="H2" s="22" t="s">
        <v>158</v>
      </c>
      <c r="J2" s="21" t="s">
        <v>156</v>
      </c>
      <c r="K2" s="37" t="s">
        <v>147</v>
      </c>
      <c r="L2" s="37"/>
      <c r="M2" s="23" t="s">
        <v>158</v>
      </c>
    </row>
    <row r="3" spans="1:19" ht="18.75" x14ac:dyDescent="0.3">
      <c r="A3" s="15" t="s">
        <v>140</v>
      </c>
      <c r="B3" s="27">
        <f>SUM(Finished_Jobs!G:G)/Report!B2</f>
        <v>0.32028226122976411</v>
      </c>
      <c r="C3" s="28"/>
      <c r="E3" s="19" t="s">
        <v>149</v>
      </c>
      <c r="F3" s="33">
        <f>AVERAGEIF(Finished_Jobs!H:H,1,Finished_Jobs!AA:AA)</f>
        <v>0.19791928690379218</v>
      </c>
      <c r="G3" s="33"/>
      <c r="H3" s="17">
        <f>COUNTIF(Finished_Jobs!H:H,1)</f>
        <v>269</v>
      </c>
      <c r="J3" s="19" t="s">
        <v>159</v>
      </c>
      <c r="K3" s="33">
        <f>AVERAGEIFS(Finished_Jobs!AA:AA, Finished_Jobs!E:E,"&gt;0",Finished_Jobs!E:E, "&lt;=750")</f>
        <v>6.5440114050651144E-2</v>
      </c>
      <c r="L3" s="33"/>
      <c r="M3" s="17">
        <f>COUNTIFS( Finished_Jobs!E:E,"&gt;0",Finished_Jobs!E:E, "&lt;=750")</f>
        <v>82</v>
      </c>
    </row>
    <row r="4" spans="1:19" ht="18.75" x14ac:dyDescent="0.3">
      <c r="A4" s="15" t="s">
        <v>141</v>
      </c>
      <c r="B4" s="27">
        <f>SUM(Finished_Jobs!F:F)/Report!B2</f>
        <v>0.13794464672813675</v>
      </c>
      <c r="C4" s="28"/>
      <c r="E4" s="19" t="s">
        <v>150</v>
      </c>
      <c r="F4" s="33">
        <f>AVERAGEIF(Finished_Jobs!H:H,"", Finished_Jobs!AA:AA)</f>
        <v>0.26643508969541413</v>
      </c>
      <c r="G4" s="33"/>
      <c r="H4" s="17">
        <f>B6-H3</f>
        <v>185</v>
      </c>
      <c r="J4" s="19" t="s">
        <v>160</v>
      </c>
      <c r="K4" s="33">
        <f>AVERAGEIFS(Finished_Jobs!AA:AA, Finished_Jobs!E:E,"&gt;750",Finished_Jobs!E:E, "&lt;=1000")</f>
        <v>0.17791289617244496</v>
      </c>
      <c r="L4" s="33"/>
      <c r="M4" s="17">
        <f>COUNTIFS( Finished_Jobs!E:E,"&gt;750",Finished_Jobs!E:E, "&lt;=1000")</f>
        <v>36</v>
      </c>
    </row>
    <row r="5" spans="1:19" ht="18.75" x14ac:dyDescent="0.3">
      <c r="A5" s="15" t="s">
        <v>144</v>
      </c>
      <c r="B5" s="29">
        <f>AVERAGE(Finished_Jobs!E:E)</f>
        <v>2918.2202643171804</v>
      </c>
      <c r="C5" s="30"/>
      <c r="E5" s="19" t="s">
        <v>0</v>
      </c>
      <c r="F5" s="33">
        <f>AVERAGEIF(Finished_Jobs!I:I,1,Finished_Jobs!AA:AA)</f>
        <v>0.29155874075844185</v>
      </c>
      <c r="G5" s="33"/>
      <c r="H5" s="17">
        <f>COUNTIF(Finished_Jobs!I:I,1)</f>
        <v>39</v>
      </c>
      <c r="J5" s="19" t="s">
        <v>161</v>
      </c>
      <c r="K5" s="33">
        <f>AVERAGEIFS(Finished_Jobs!AA:AA, Finished_Jobs!E:E,"&gt;1000",Finished_Jobs!E:E, "&lt;=1500")</f>
        <v>0.24866833581169534</v>
      </c>
      <c r="L5" s="33"/>
      <c r="M5" s="17">
        <f>COUNTIFS( Finished_Jobs!E:E,"&gt;1000",Finished_Jobs!E:E, "&lt;=1500")</f>
        <v>66</v>
      </c>
    </row>
    <row r="6" spans="1:19" ht="18.75" x14ac:dyDescent="0.3">
      <c r="A6" s="15" t="s">
        <v>145</v>
      </c>
      <c r="B6" s="34">
        <f>COUNT(Finished_Jobs!E:E)</f>
        <v>454</v>
      </c>
      <c r="C6" s="35"/>
      <c r="E6" s="19" t="s">
        <v>1</v>
      </c>
      <c r="F6" s="33">
        <f>AVERAGEIF(Finished_Jobs!J:J,1,Finished_Jobs!AA:AA)</f>
        <v>0.37251761951371515</v>
      </c>
      <c r="G6" s="33"/>
      <c r="H6" s="17">
        <f>COUNTIF(Finished_Jobs!J:J,1)</f>
        <v>11</v>
      </c>
      <c r="J6" s="19" t="s">
        <v>162</v>
      </c>
      <c r="K6" s="33">
        <f>AVERAGEIFS(Finished_Jobs!AA:AA, Finished_Jobs!E:E,"&gt;1500",Finished_Jobs!E:E, "&lt;=2000")</f>
        <v>0.29327090533408928</v>
      </c>
      <c r="L6" s="33"/>
      <c r="M6" s="17">
        <f>COUNTIFS( Finished_Jobs!E:E,"&gt;1500",Finished_Jobs!E:E, "&lt;=2000")</f>
        <v>43</v>
      </c>
    </row>
    <row r="7" spans="1:19" ht="18.75" x14ac:dyDescent="0.3">
      <c r="A7" s="15" t="s">
        <v>142</v>
      </c>
      <c r="B7" s="29">
        <f>SUM(Finished_Jobs!Z:Z)</f>
        <v>355037.37999999977</v>
      </c>
      <c r="C7" s="30"/>
      <c r="E7" s="19" t="s">
        <v>151</v>
      </c>
      <c r="F7" s="33">
        <f>AVERAGEIF(Finished_Jobs!K:K,1,Finished_Jobs!AA:AA)</f>
        <v>0.29103144810602716</v>
      </c>
      <c r="G7" s="33"/>
      <c r="H7" s="17">
        <f>COUNTIF(Finished_Jobs!K:K,1)</f>
        <v>21</v>
      </c>
      <c r="J7" s="19" t="s">
        <v>163</v>
      </c>
      <c r="K7" s="33">
        <f>AVERAGEIFS(Finished_Jobs!AA:AA, Finished_Jobs!E:E,"&gt;2000",Finished_Jobs!E:E, "&lt;=2500")</f>
        <v>0.23567829948002567</v>
      </c>
      <c r="L7" s="33"/>
      <c r="M7" s="17">
        <f>COUNTIFS( Finished_Jobs!E:E,"&gt;2000",Finished_Jobs!E:E, "&lt;=2500")</f>
        <v>40</v>
      </c>
    </row>
    <row r="8" spans="1:19" ht="18.75" x14ac:dyDescent="0.3">
      <c r="A8" s="15" t="s">
        <v>143</v>
      </c>
      <c r="B8" s="27">
        <f>B7/B2</f>
        <v>0.26797862736928529</v>
      </c>
      <c r="C8" s="28"/>
      <c r="E8" s="19" t="s">
        <v>152</v>
      </c>
      <c r="F8" s="33">
        <f>AVERAGEIF(Finished_Jobs!L:L,1,Finished_Jobs!AA:AA)</f>
        <v>0.26104430107118909</v>
      </c>
      <c r="G8" s="33"/>
      <c r="H8" s="17">
        <f>COUNTIF(Finished_Jobs!L:L,1)</f>
        <v>81</v>
      </c>
      <c r="J8" s="19" t="s">
        <v>164</v>
      </c>
      <c r="K8" s="33">
        <f>AVERAGEIFS(Finished_Jobs!AA:AA, Finished_Jobs!E:E,"&gt;2500",Finished_Jobs!E:E, "&lt;=4000")</f>
        <v>0.27781437821346183</v>
      </c>
      <c r="L8" s="33"/>
      <c r="M8" s="17">
        <f>COUNTIFS( Finished_Jobs!E:E,"&gt;2500",Finished_Jobs!E:E, "&lt;=4000")</f>
        <v>79</v>
      </c>
    </row>
    <row r="9" spans="1:19" ht="18.75" x14ac:dyDescent="0.3">
      <c r="A9" s="15" t="s">
        <v>146</v>
      </c>
      <c r="B9" s="29">
        <f>AVERAGE(Finished_Jobs!Z:Z)</f>
        <v>782.02066079295105</v>
      </c>
      <c r="C9" s="30"/>
      <c r="E9" s="19" t="s">
        <v>3</v>
      </c>
      <c r="F9" s="33">
        <f>AVERAGEIF(Finished_Jobs!M:M,1,Finished_Jobs!AA:AA)</f>
        <v>0.25975294851461278</v>
      </c>
      <c r="G9" s="33"/>
      <c r="H9" s="17">
        <f>COUNTIF(Finished_Jobs!M:M,1)</f>
        <v>64</v>
      </c>
      <c r="J9" s="20" t="s">
        <v>165</v>
      </c>
      <c r="K9" s="36">
        <f>AVERAGEIFS(Finished_Jobs!AA:AA, Finished_Jobs!E:E,"&gt;4000",Finished_Jobs!E:E, "&gt;=4000")</f>
        <v>0.28113517782785175</v>
      </c>
      <c r="L9" s="36"/>
      <c r="M9" s="18">
        <f>COUNTIFS( Finished_Jobs!E:E,"&gt;4000",Finished_Jobs!E:E, "&gt;=4000")</f>
        <v>108</v>
      </c>
    </row>
    <row r="10" spans="1:19" ht="18.75" x14ac:dyDescent="0.3">
      <c r="A10" s="16" t="s">
        <v>147</v>
      </c>
      <c r="B10" s="31">
        <f>AVERAGE(Finished_Jobs!AA:AA)</f>
        <v>0.22583872196205193</v>
      </c>
      <c r="C10" s="32"/>
      <c r="E10" s="19" t="s">
        <v>4</v>
      </c>
      <c r="F10" s="33">
        <f>AVERAGEIF(Finished_Jobs!N:N,1,Finished_Jobs!AA:AA)</f>
        <v>0.2647381834157343</v>
      </c>
      <c r="G10" s="33"/>
      <c r="H10" s="17">
        <f>COUNTIF(Finished_Jobs!N:N,1)</f>
        <v>8</v>
      </c>
      <c r="K10" s="34"/>
      <c r="L10" s="34"/>
    </row>
    <row r="11" spans="1:19" ht="18.75" x14ac:dyDescent="0.3">
      <c r="E11" s="19" t="s">
        <v>5</v>
      </c>
      <c r="F11" s="33">
        <f>AVERAGEIF(Finished_Jobs!O:O,1,Finished_Jobs!AA:AA)</f>
        <v>0.26908074150348948</v>
      </c>
      <c r="G11" s="33"/>
      <c r="H11" s="17">
        <f>COUNTIF(Finished_Jobs!O:O,1)</f>
        <v>39</v>
      </c>
      <c r="K11" s="34"/>
      <c r="L11" s="34"/>
    </row>
    <row r="12" spans="1:19" ht="18.75" x14ac:dyDescent="0.3">
      <c r="E12" s="19" t="s">
        <v>6</v>
      </c>
      <c r="F12" s="33">
        <f>AVERAGEIF(Finished_Jobs!P:P,1,Finished_Jobs!AA:AA)</f>
        <v>0.29121454544441389</v>
      </c>
      <c r="G12" s="33"/>
      <c r="H12" s="17">
        <f>COUNTIF(Finished_Jobs!P:P,1)</f>
        <v>75</v>
      </c>
      <c r="K12" s="34"/>
      <c r="L12" s="34"/>
    </row>
    <row r="13" spans="1:19" ht="18.75" x14ac:dyDescent="0.3">
      <c r="E13" s="19" t="s">
        <v>7</v>
      </c>
      <c r="F13" s="33">
        <f>AVERAGEIF(Finished_Jobs!Q:Q,1,Finished_Jobs!AA:AA)</f>
        <v>0.18688120344709974</v>
      </c>
      <c r="G13" s="33"/>
      <c r="H13" s="17">
        <f>COUNTIF(Finished_Jobs!Q:Q,1)</f>
        <v>221</v>
      </c>
      <c r="K13" s="34"/>
      <c r="L13" s="34"/>
    </row>
    <row r="14" spans="1:19" ht="18.75" x14ac:dyDescent="0.3">
      <c r="E14" s="19" t="s">
        <v>153</v>
      </c>
      <c r="F14" s="33">
        <f>AVERAGEIF(Finished_Jobs!R:R,1,Finished_Jobs!AA:AA)</f>
        <v>0.18584761631409075</v>
      </c>
      <c r="G14" s="33"/>
      <c r="H14" s="17">
        <f>COUNTIF(Finished_Jobs!R:R,1)</f>
        <v>167</v>
      </c>
      <c r="K14" s="34"/>
      <c r="L14" s="34"/>
    </row>
    <row r="15" spans="1:19" ht="18.75" x14ac:dyDescent="0.3">
      <c r="E15" s="19" t="s">
        <v>10</v>
      </c>
      <c r="F15" s="33">
        <f>AVERAGEIF(Finished_Jobs!S:S,1,Finished_Jobs!AA:AA)</f>
        <v>0.22526315592056528</v>
      </c>
      <c r="G15" s="33"/>
      <c r="H15" s="17">
        <f>COUNTIF(Finished_Jobs!S:S,1)</f>
        <v>149</v>
      </c>
      <c r="K15" s="34"/>
      <c r="L15" s="34"/>
    </row>
    <row r="16" spans="1:19" ht="18.75" x14ac:dyDescent="0.3">
      <c r="E16" s="19" t="s">
        <v>157</v>
      </c>
      <c r="F16" s="33">
        <f>AVERAGEIF(Finished_Jobs!T:T,1,Finished_Jobs!AA:AA)</f>
        <v>0.23523782515518771</v>
      </c>
      <c r="G16" s="33"/>
      <c r="H16" s="17">
        <f>COUNTIF(Finished_Jobs!T:T,1)</f>
        <v>89</v>
      </c>
      <c r="K16" s="34"/>
      <c r="L16" s="34"/>
    </row>
    <row r="17" spans="5:12" ht="18.75" x14ac:dyDescent="0.3">
      <c r="E17" s="19" t="s">
        <v>11</v>
      </c>
      <c r="F17" s="33">
        <f>AVERAGEIF(Finished_Jobs!U:U,1,Finished_Jobs!AA:AA)</f>
        <v>0.25550473338173918</v>
      </c>
      <c r="G17" s="33"/>
      <c r="H17" s="17">
        <f>COUNTIF(Finished_Jobs!U:U,1)</f>
        <v>20</v>
      </c>
      <c r="K17" s="34"/>
      <c r="L17" s="34"/>
    </row>
    <row r="18" spans="5:12" ht="18.75" x14ac:dyDescent="0.3">
      <c r="E18" s="19" t="s">
        <v>154</v>
      </c>
      <c r="F18" s="33">
        <f>AVERAGEIF(Finished_Jobs!V:V,1,Finished_Jobs!AA:AA)</f>
        <v>0.33175767420490143</v>
      </c>
      <c r="G18" s="33"/>
      <c r="H18" s="17">
        <f>COUNTIF(Finished_Jobs!V:V,1)</f>
        <v>66</v>
      </c>
      <c r="K18" s="34"/>
      <c r="L18" s="34"/>
    </row>
    <row r="19" spans="5:12" ht="18.75" x14ac:dyDescent="0.3">
      <c r="E19" s="19" t="s">
        <v>43</v>
      </c>
      <c r="F19" s="33">
        <f>AVERAGEIF(Finished_Jobs!W:W,1,Finished_Jobs!AA:AA)</f>
        <v>0.21595469292667893</v>
      </c>
      <c r="G19" s="33"/>
      <c r="H19" s="17">
        <f>COUNTIF(Finished_Jobs!W:W,1)</f>
        <v>7</v>
      </c>
      <c r="K19" s="34"/>
      <c r="L19" s="34"/>
    </row>
    <row r="20" spans="5:12" ht="18.75" x14ac:dyDescent="0.3">
      <c r="E20" s="20" t="s">
        <v>155</v>
      </c>
      <c r="F20" s="36">
        <f>AVERAGEIF(Finished_Jobs!X:X,1,Finished_Jobs!AA:AA)</f>
        <v>0.26602761021678067</v>
      </c>
      <c r="G20" s="36"/>
      <c r="H20" s="18">
        <f>COUNTIF(Finished_Jobs!X:X,1)</f>
        <v>9</v>
      </c>
      <c r="K20" s="34"/>
      <c r="L20" s="34"/>
    </row>
    <row r="21" spans="5:12" x14ac:dyDescent="0.25">
      <c r="K21" s="34"/>
      <c r="L21" s="34"/>
    </row>
  </sheetData>
  <mergeCells count="49">
    <mergeCell ref="K18:L18"/>
    <mergeCell ref="K19:L19"/>
    <mergeCell ref="K20:L20"/>
    <mergeCell ref="K21:L21"/>
    <mergeCell ref="F2:G2"/>
    <mergeCell ref="K2:L2"/>
    <mergeCell ref="K12:L12"/>
    <mergeCell ref="K13:L13"/>
    <mergeCell ref="K14:L14"/>
    <mergeCell ref="K15:L15"/>
    <mergeCell ref="K16:L16"/>
    <mergeCell ref="K17:L17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F20:G20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B8:C8"/>
    <mergeCell ref="B9:C9"/>
    <mergeCell ref="B10:C10"/>
    <mergeCell ref="F3:G3"/>
    <mergeCell ref="F4:G4"/>
    <mergeCell ref="F5:G5"/>
    <mergeCell ref="F6:G6"/>
    <mergeCell ref="F7:G7"/>
    <mergeCell ref="F8:G8"/>
    <mergeCell ref="B6:C6"/>
    <mergeCell ref="B7:C7"/>
    <mergeCell ref="A1:S1"/>
    <mergeCell ref="B2:C2"/>
    <mergeCell ref="B3:C3"/>
    <mergeCell ref="B4:C4"/>
    <mergeCell ref="B5:C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Finished_Jobs</vt:lpstr>
      <vt:lpstr>In_Progress_Jobs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 Bahadirli</dc:creator>
  <cp:lastModifiedBy>Jamaine Roseborough</cp:lastModifiedBy>
  <cp:lastPrinted>2021-12-21T17:17:13Z</cp:lastPrinted>
  <dcterms:created xsi:type="dcterms:W3CDTF">2020-10-28T18:54:55Z</dcterms:created>
  <dcterms:modified xsi:type="dcterms:W3CDTF">2023-06-02T02:48:02Z</dcterms:modified>
</cp:coreProperties>
</file>