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7875"/>
  </bookViews>
  <sheets>
    <sheet name="Example 1" sheetId="1" r:id="rId1"/>
    <sheet name="Example 2" sheetId="5" r:id="rId2"/>
    <sheet name="Example 3" sheetId="7" r:id="rId3"/>
  </sheets>
  <definedNames>
    <definedName name="_xlnm.Print_Area" localSheetId="0">'Example 1'!$A$1:$L$110</definedName>
    <definedName name="_xlnm.Print_Area" localSheetId="1">'Example 2'!$A$1:$L$92</definedName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'Example 1'!$A$1</definedName>
    <definedName name="solver_opt" localSheetId="1" hidden="1">'Example 2'!$M$4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C36" i="1" l="1"/>
  <c r="D39" i="7" l="1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F38" i="7"/>
  <c r="E38" i="7"/>
  <c r="D38" i="7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F24" i="5"/>
  <c r="E24" i="5"/>
  <c r="D24" i="5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F24" i="1"/>
  <c r="E24" i="1"/>
  <c r="D24" i="1"/>
  <c r="G39" i="7" l="1"/>
  <c r="H39" i="7"/>
  <c r="K38" i="7" s="1"/>
  <c r="J39" i="7" s="1"/>
  <c r="G40" i="7"/>
  <c r="H40" i="7" s="1"/>
  <c r="G41" i="7"/>
  <c r="H41" i="7"/>
  <c r="G42" i="7"/>
  <c r="H42" i="7" s="1"/>
  <c r="G43" i="7"/>
  <c r="H43" i="7" s="1"/>
  <c r="G44" i="7"/>
  <c r="H44" i="7" s="1"/>
  <c r="G45" i="7"/>
  <c r="H45" i="7" s="1"/>
  <c r="G46" i="7"/>
  <c r="H46" i="7" s="1"/>
  <c r="G47" i="7"/>
  <c r="H47" i="7" s="1"/>
  <c r="G48" i="7"/>
  <c r="H48" i="7" s="1"/>
  <c r="G49" i="7"/>
  <c r="H49" i="7"/>
  <c r="G50" i="7"/>
  <c r="H50" i="7" s="1"/>
  <c r="G51" i="7"/>
  <c r="H51" i="7" s="1"/>
  <c r="G52" i="7"/>
  <c r="H52" i="7" s="1"/>
  <c r="G53" i="7"/>
  <c r="H53" i="7" s="1"/>
  <c r="G54" i="7"/>
  <c r="H54" i="7" s="1"/>
  <c r="G55" i="7"/>
  <c r="H55" i="7"/>
  <c r="G56" i="7"/>
  <c r="H56" i="7" s="1"/>
  <c r="G57" i="7"/>
  <c r="H57" i="7"/>
  <c r="G58" i="7"/>
  <c r="H58" i="7" s="1"/>
  <c r="G59" i="7"/>
  <c r="H59" i="7" s="1"/>
  <c r="G38" i="7"/>
  <c r="R38" i="7" l="1"/>
  <c r="H38" i="7"/>
  <c r="R43" i="7"/>
  <c r="R39" i="7"/>
  <c r="R40" i="7"/>
  <c r="R44" i="7"/>
  <c r="R42" i="7"/>
  <c r="R41" i="7"/>
  <c r="A62" i="7"/>
  <c r="A88" i="7" s="1"/>
  <c r="A114" i="7" s="1"/>
  <c r="A140" i="7" s="1"/>
  <c r="K39" i="7" l="1"/>
  <c r="M41" i="7"/>
  <c r="K41" i="7"/>
  <c r="M39" i="7"/>
  <c r="P43" i="7"/>
  <c r="O43" i="7"/>
  <c r="O44" i="7"/>
  <c r="N42" i="7"/>
  <c r="L41" i="7"/>
  <c r="M40" i="7"/>
  <c r="M43" i="7"/>
  <c r="O41" i="7"/>
  <c r="P44" i="7"/>
  <c r="N44" i="7"/>
  <c r="P42" i="7"/>
  <c r="L40" i="7"/>
  <c r="J40" i="7"/>
  <c r="L38" i="7"/>
  <c r="J38" i="7"/>
  <c r="N41" i="7"/>
  <c r="M42" i="7"/>
  <c r="A40" i="5"/>
  <c r="A58" i="5" s="1"/>
  <c r="A76" i="5" s="1"/>
  <c r="G33" i="5"/>
  <c r="H33" i="5" s="1"/>
  <c r="I33" i="5" s="1"/>
  <c r="J33" i="5" s="1"/>
  <c r="K33" i="5" s="1"/>
  <c r="L33" i="5" s="1"/>
  <c r="G32" i="5"/>
  <c r="H32" i="5" s="1"/>
  <c r="I32" i="5" s="1"/>
  <c r="J32" i="5" s="1"/>
  <c r="K32" i="5" s="1"/>
  <c r="L32" i="5" s="1"/>
  <c r="G31" i="5"/>
  <c r="H31" i="5" s="1"/>
  <c r="I31" i="5" s="1"/>
  <c r="J31" i="5" s="1"/>
  <c r="K31" i="5" s="1"/>
  <c r="G30" i="5"/>
  <c r="H30" i="5" s="1"/>
  <c r="I30" i="5" s="1"/>
  <c r="J30" i="5" s="1"/>
  <c r="K30" i="5" s="1"/>
  <c r="L30" i="5" s="1"/>
  <c r="G29" i="5"/>
  <c r="H29" i="5" s="1"/>
  <c r="I29" i="5" s="1"/>
  <c r="J29" i="5" s="1"/>
  <c r="K29" i="5" s="1"/>
  <c r="L29" i="5" s="1"/>
  <c r="G28" i="5"/>
  <c r="H28" i="5" s="1"/>
  <c r="I28" i="5" s="1"/>
  <c r="J28" i="5" s="1"/>
  <c r="K28" i="5" s="1"/>
  <c r="L28" i="5" s="1"/>
  <c r="G27" i="5"/>
  <c r="H27" i="5" s="1"/>
  <c r="I27" i="5" s="1"/>
  <c r="J27" i="5" s="1"/>
  <c r="K27" i="5" s="1"/>
  <c r="G26" i="5"/>
  <c r="H26" i="5" s="1"/>
  <c r="I26" i="5" s="1"/>
  <c r="J26" i="5" s="1"/>
  <c r="K26" i="5" s="1"/>
  <c r="L26" i="5" s="1"/>
  <c r="G25" i="5"/>
  <c r="H25" i="5" s="1"/>
  <c r="I25" i="5" s="1"/>
  <c r="J25" i="5" s="1"/>
  <c r="K25" i="5" s="1"/>
  <c r="G24" i="5"/>
  <c r="H24" i="5" s="1"/>
  <c r="I24" i="5" s="1"/>
  <c r="J24" i="5" s="1"/>
  <c r="K24" i="5" s="1"/>
  <c r="L24" i="5" s="1"/>
  <c r="K36" i="5" l="1"/>
  <c r="J47" i="7" a="1"/>
  <c r="M47" i="7" s="1"/>
  <c r="D36" i="5"/>
  <c r="L27" i="5"/>
  <c r="K38" i="5"/>
  <c r="L31" i="5"/>
  <c r="D37" i="5" s="1"/>
  <c r="K37" i="5"/>
  <c r="C37" i="5"/>
  <c r="L25" i="5"/>
  <c r="C38" i="5"/>
  <c r="P52" i="7" l="1"/>
  <c r="N49" i="7"/>
  <c r="P53" i="7"/>
  <c r="J47" i="7"/>
  <c r="L53" i="7"/>
  <c r="O52" i="7"/>
  <c r="L47" i="7"/>
  <c r="L50" i="7"/>
  <c r="O48" i="7"/>
  <c r="K50" i="7"/>
  <c r="K53" i="7"/>
  <c r="K47" i="7"/>
  <c r="L51" i="7"/>
  <c r="O49" i="7"/>
  <c r="K49" i="7"/>
  <c r="P47" i="7"/>
  <c r="P50" i="7"/>
  <c r="K52" i="7"/>
  <c r="J49" i="7"/>
  <c r="O50" i="7"/>
  <c r="O47" i="7"/>
  <c r="N52" i="7"/>
  <c r="M51" i="7"/>
  <c r="N51" i="7"/>
  <c r="M48" i="7"/>
  <c r="M53" i="7"/>
  <c r="O53" i="7"/>
  <c r="L52" i="7"/>
  <c r="M50" i="7"/>
  <c r="N48" i="7"/>
  <c r="O51" i="7"/>
  <c r="P49" i="7"/>
  <c r="J48" i="7"/>
  <c r="K51" i="7"/>
  <c r="L49" i="7"/>
  <c r="N50" i="7"/>
  <c r="L48" i="7"/>
  <c r="J53" i="7"/>
  <c r="M52" i="7"/>
  <c r="J50" i="7"/>
  <c r="K48" i="7"/>
  <c r="P51" i="7"/>
  <c r="M49" i="7"/>
  <c r="N47" i="7"/>
  <c r="N53" i="7"/>
  <c r="P48" i="7"/>
  <c r="J52" i="7"/>
  <c r="J51" i="7"/>
  <c r="C36" i="5"/>
  <c r="E38" i="5"/>
  <c r="E36" i="5"/>
  <c r="G36" i="5" l="1" a="1"/>
  <c r="G37" i="5" s="1"/>
  <c r="R47" i="7" a="1"/>
  <c r="R52" i="7" s="1"/>
  <c r="I38" i="5"/>
  <c r="H36" i="5"/>
  <c r="H37" i="5"/>
  <c r="H38" i="5"/>
  <c r="I36" i="5"/>
  <c r="I37" i="5"/>
  <c r="G38" i="5"/>
  <c r="G36" i="5" l="1"/>
  <c r="L36" i="5" s="1" a="1"/>
  <c r="L36" i="5" s="1"/>
  <c r="R51" i="7"/>
  <c r="R47" i="7"/>
  <c r="R48" i="7"/>
  <c r="C73" i="7" s="1"/>
  <c r="R50" i="7"/>
  <c r="C75" i="7" s="1"/>
  <c r="R53" i="7"/>
  <c r="C80" i="7" s="1"/>
  <c r="R49" i="7"/>
  <c r="C69" i="7" s="1"/>
  <c r="C74" i="7"/>
  <c r="C84" i="7"/>
  <c r="C79" i="7"/>
  <c r="C82" i="7"/>
  <c r="C83" i="7"/>
  <c r="L37" i="5"/>
  <c r="L38" i="5"/>
  <c r="C81" i="7" l="1"/>
  <c r="C85" i="7"/>
  <c r="G85" i="7" s="1"/>
  <c r="H85" i="7" s="1"/>
  <c r="C77" i="7"/>
  <c r="G77" i="7" s="1"/>
  <c r="H77" i="7" s="1"/>
  <c r="G79" i="7"/>
  <c r="H79" i="7" s="1"/>
  <c r="G73" i="7"/>
  <c r="H73" i="7" s="1"/>
  <c r="G83" i="7"/>
  <c r="H83" i="7" s="1"/>
  <c r="G69" i="7"/>
  <c r="H69" i="7" s="1"/>
  <c r="G75" i="7"/>
  <c r="H75" i="7" s="1"/>
  <c r="G80" i="7"/>
  <c r="H80" i="7" s="1"/>
  <c r="G82" i="7"/>
  <c r="H82" i="7" s="1"/>
  <c r="G84" i="7"/>
  <c r="H84" i="7" s="1"/>
  <c r="G74" i="7"/>
  <c r="G81" i="7"/>
  <c r="C65" i="7"/>
  <c r="C66" i="7"/>
  <c r="C67" i="7"/>
  <c r="C70" i="7"/>
  <c r="C71" i="7"/>
  <c r="C64" i="7"/>
  <c r="C72" i="7"/>
  <c r="C68" i="7"/>
  <c r="C76" i="7"/>
  <c r="C78" i="7"/>
  <c r="C43" i="5"/>
  <c r="C44" i="5"/>
  <c r="C45" i="5"/>
  <c r="C42" i="5"/>
  <c r="C47" i="5"/>
  <c r="C46" i="5"/>
  <c r="C48" i="5"/>
  <c r="C51" i="5"/>
  <c r="C50" i="5"/>
  <c r="C49" i="5"/>
  <c r="H81" i="7" l="1"/>
  <c r="R69" i="7"/>
  <c r="H74" i="7"/>
  <c r="O67" i="7"/>
  <c r="M69" i="7"/>
  <c r="N67" i="7"/>
  <c r="M68" i="7"/>
  <c r="G72" i="7"/>
  <c r="G64" i="7"/>
  <c r="G76" i="7"/>
  <c r="G71" i="7"/>
  <c r="G68" i="7"/>
  <c r="H68" i="7" s="1"/>
  <c r="G70" i="7"/>
  <c r="H70" i="7" s="1"/>
  <c r="G78" i="7"/>
  <c r="G66" i="7"/>
  <c r="H66" i="7" s="1"/>
  <c r="G67" i="7"/>
  <c r="H67" i="7" s="1"/>
  <c r="G65" i="7"/>
  <c r="H65" i="7" s="1"/>
  <c r="G50" i="5"/>
  <c r="H50" i="5" s="1"/>
  <c r="I50" i="5" s="1"/>
  <c r="J50" i="5" s="1"/>
  <c r="K50" i="5" s="1"/>
  <c r="L50" i="5" s="1"/>
  <c r="G47" i="5"/>
  <c r="H47" i="5" s="1"/>
  <c r="I47" i="5" s="1"/>
  <c r="J47" i="5" s="1"/>
  <c r="K47" i="5" s="1"/>
  <c r="L47" i="5" s="1"/>
  <c r="G43" i="5"/>
  <c r="H43" i="5" s="1"/>
  <c r="I43" i="5" s="1"/>
  <c r="J43" i="5" s="1"/>
  <c r="K43" i="5" s="1"/>
  <c r="G51" i="5"/>
  <c r="H51" i="5" s="1"/>
  <c r="I51" i="5" s="1"/>
  <c r="J51" i="5" s="1"/>
  <c r="K51" i="5" s="1"/>
  <c r="L51" i="5" s="1"/>
  <c r="G42" i="5"/>
  <c r="H42" i="5" s="1"/>
  <c r="I42" i="5" s="1"/>
  <c r="J42" i="5" s="1"/>
  <c r="G48" i="5"/>
  <c r="H48" i="5" s="1"/>
  <c r="I48" i="5" s="1"/>
  <c r="J48" i="5" s="1"/>
  <c r="K48" i="5" s="1"/>
  <c r="L48" i="5" s="1"/>
  <c r="G45" i="5"/>
  <c r="H45" i="5" s="1"/>
  <c r="I45" i="5" s="1"/>
  <c r="J45" i="5" s="1"/>
  <c r="K45" i="5" s="1"/>
  <c r="G49" i="5"/>
  <c r="H49" i="5" s="1"/>
  <c r="I49" i="5" s="1"/>
  <c r="J49" i="5" s="1"/>
  <c r="K49" i="5" s="1"/>
  <c r="G46" i="5"/>
  <c r="H46" i="5" s="1"/>
  <c r="I46" i="5" s="1"/>
  <c r="J46" i="5" s="1"/>
  <c r="K46" i="5" s="1"/>
  <c r="L46" i="5" s="1"/>
  <c r="G44" i="5"/>
  <c r="H44" i="5" s="1"/>
  <c r="I44" i="5" s="1"/>
  <c r="J44" i="5" s="1"/>
  <c r="K44" i="5" s="1"/>
  <c r="L44" i="5" s="1"/>
  <c r="J66" i="7" l="1"/>
  <c r="L64" i="7"/>
  <c r="H71" i="7"/>
  <c r="R66" i="7"/>
  <c r="R65" i="7"/>
  <c r="H78" i="7"/>
  <c r="R70" i="7"/>
  <c r="H76" i="7"/>
  <c r="R68" i="7"/>
  <c r="K64" i="7"/>
  <c r="J65" i="7" s="1"/>
  <c r="H64" i="7"/>
  <c r="J64" i="7" s="1"/>
  <c r="R64" i="7"/>
  <c r="H72" i="7"/>
  <c r="K65" i="7" s="1"/>
  <c r="R67" i="7"/>
  <c r="O69" i="7"/>
  <c r="P69" i="7"/>
  <c r="O70" i="7"/>
  <c r="D54" i="5"/>
  <c r="C55" i="5"/>
  <c r="K42" i="5"/>
  <c r="L42" i="5" s="1"/>
  <c r="K55" i="5"/>
  <c r="K56" i="5"/>
  <c r="L49" i="5"/>
  <c r="D55" i="5" s="1"/>
  <c r="L45" i="5"/>
  <c r="L43" i="5"/>
  <c r="L67" i="7" l="1"/>
  <c r="M66" i="7"/>
  <c r="P70" i="7"/>
  <c r="P68" i="7"/>
  <c r="N70" i="7"/>
  <c r="K67" i="7"/>
  <c r="M67" i="7"/>
  <c r="M65" i="7"/>
  <c r="N68" i="7"/>
  <c r="L66" i="7"/>
  <c r="K54" i="5"/>
  <c r="C54" i="5"/>
  <c r="E54" i="5"/>
  <c r="E56" i="5"/>
  <c r="C56" i="5"/>
  <c r="A40" i="1"/>
  <c r="A58" i="1" s="1"/>
  <c r="A76" i="1" s="1"/>
  <c r="A9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J28" i="1" s="1"/>
  <c r="K28" i="1" s="1"/>
  <c r="G29" i="1"/>
  <c r="H29" i="1" s="1"/>
  <c r="I29" i="1" s="1"/>
  <c r="G30" i="1"/>
  <c r="H30" i="1" s="1"/>
  <c r="I30" i="1" s="1"/>
  <c r="G31" i="1"/>
  <c r="H31" i="1" s="1"/>
  <c r="I31" i="1" s="1"/>
  <c r="G32" i="1"/>
  <c r="H32" i="1" s="1"/>
  <c r="I32" i="1" s="1"/>
  <c r="G33" i="1"/>
  <c r="H33" i="1" s="1"/>
  <c r="I33" i="1" s="1"/>
  <c r="G24" i="1"/>
  <c r="H24" i="1" s="1"/>
  <c r="I24" i="1" s="1"/>
  <c r="J73" i="7" l="1" a="1"/>
  <c r="P76" i="7" s="1"/>
  <c r="O78" i="7"/>
  <c r="K74" i="7"/>
  <c r="N76" i="7"/>
  <c r="L73" i="7"/>
  <c r="K78" i="7"/>
  <c r="N73" i="7"/>
  <c r="N78" i="7"/>
  <c r="L76" i="7"/>
  <c r="N75" i="7"/>
  <c r="L78" i="7"/>
  <c r="M75" i="7"/>
  <c r="L77" i="7"/>
  <c r="J76" i="7"/>
  <c r="P79" i="7"/>
  <c r="L75" i="7"/>
  <c r="J73" i="7"/>
  <c r="J78" i="7"/>
  <c r="M73" i="7"/>
  <c r="M74" i="7"/>
  <c r="O77" i="7"/>
  <c r="N79" i="7"/>
  <c r="K76" i="7"/>
  <c r="L74" i="7"/>
  <c r="J77" i="7"/>
  <c r="O74" i="7"/>
  <c r="O79" i="7"/>
  <c r="K75" i="7"/>
  <c r="J79" i="7"/>
  <c r="P73" i="7"/>
  <c r="O73" i="7"/>
  <c r="M78" i="7"/>
  <c r="J75" i="7"/>
  <c r="K79" i="7"/>
  <c r="N74" i="7"/>
  <c r="O76" i="7"/>
  <c r="P78" i="7"/>
  <c r="P77" i="7"/>
  <c r="G54" i="5" a="1"/>
  <c r="G55" i="5" s="1"/>
  <c r="J24" i="1"/>
  <c r="K24" i="1" s="1"/>
  <c r="L24" i="1" s="1"/>
  <c r="J25" i="1"/>
  <c r="K25" i="1" s="1"/>
  <c r="L25" i="1" s="1"/>
  <c r="J26" i="1"/>
  <c r="K26" i="1" s="1"/>
  <c r="J27" i="1"/>
  <c r="K27" i="1" s="1"/>
  <c r="J29" i="1"/>
  <c r="K29" i="1" s="1"/>
  <c r="L29" i="1" s="1"/>
  <c r="J30" i="1"/>
  <c r="K30" i="1" s="1"/>
  <c r="L30" i="1" s="1"/>
  <c r="J31" i="1"/>
  <c r="K31" i="1" s="1"/>
  <c r="L31" i="1" s="1"/>
  <c r="J32" i="1"/>
  <c r="K32" i="1" s="1"/>
  <c r="L32" i="1" s="1"/>
  <c r="J33" i="1"/>
  <c r="K33" i="1" s="1"/>
  <c r="L33" i="1" s="1"/>
  <c r="M79" i="7" l="1"/>
  <c r="M76" i="7"/>
  <c r="K77" i="7"/>
  <c r="M77" i="7"/>
  <c r="L79" i="7"/>
  <c r="P74" i="7"/>
  <c r="O75" i="7"/>
  <c r="N77" i="7"/>
  <c r="K73" i="7"/>
  <c r="R73" i="7" s="1" a="1"/>
  <c r="J74" i="7"/>
  <c r="P75" i="7"/>
  <c r="H54" i="5"/>
  <c r="I54" i="5"/>
  <c r="I56" i="5"/>
  <c r="H56" i="5"/>
  <c r="I55" i="5"/>
  <c r="H55" i="5"/>
  <c r="G54" i="5"/>
  <c r="G56" i="5"/>
  <c r="K36" i="1"/>
  <c r="L28" i="1"/>
  <c r="K38" i="1"/>
  <c r="C38" i="1"/>
  <c r="E36" i="1"/>
  <c r="L27" i="1"/>
  <c r="D36" i="1" s="1"/>
  <c r="L26" i="1"/>
  <c r="D37" i="1" s="1"/>
  <c r="K37" i="1"/>
  <c r="R74" i="7" l="1"/>
  <c r="R79" i="7"/>
  <c r="R77" i="7"/>
  <c r="R75" i="7"/>
  <c r="R73" i="7"/>
  <c r="R78" i="7"/>
  <c r="R76" i="7"/>
  <c r="L54" i="5" a="1"/>
  <c r="L55" i="5" s="1"/>
  <c r="C37" i="1"/>
  <c r="E38" i="1"/>
  <c r="E37" i="1"/>
  <c r="D38" i="1"/>
  <c r="L54" i="5" l="1"/>
  <c r="C62" i="5" s="1"/>
  <c r="G62" i="5" s="1"/>
  <c r="H62" i="5" s="1"/>
  <c r="I62" i="5" s="1"/>
  <c r="J62" i="5" s="1"/>
  <c r="K62" i="5" s="1"/>
  <c r="L62" i="5" s="1"/>
  <c r="L56" i="5"/>
  <c r="C64" i="5" s="1"/>
  <c r="G64" i="5" s="1"/>
  <c r="H64" i="5" s="1"/>
  <c r="I64" i="5" s="1"/>
  <c r="J64" i="5" s="1"/>
  <c r="K64" i="5" s="1"/>
  <c r="L64" i="5" s="1"/>
  <c r="C65" i="5"/>
  <c r="G65" i="5" s="1"/>
  <c r="H65" i="5" s="1"/>
  <c r="I65" i="5" s="1"/>
  <c r="J65" i="5" s="1"/>
  <c r="K65" i="5" s="1"/>
  <c r="L65" i="5" s="1"/>
  <c r="C60" i="5"/>
  <c r="G60" i="5" s="1"/>
  <c r="H60" i="5" s="1"/>
  <c r="I60" i="5" s="1"/>
  <c r="J60" i="5" s="1"/>
  <c r="K60" i="5" s="1"/>
  <c r="L60" i="5" s="1"/>
  <c r="C61" i="5"/>
  <c r="G61" i="5" s="1"/>
  <c r="H61" i="5" s="1"/>
  <c r="I61" i="5" s="1"/>
  <c r="J61" i="5" s="1"/>
  <c r="K61" i="5" s="1"/>
  <c r="C69" i="5"/>
  <c r="G69" i="5" s="1"/>
  <c r="H69" i="5" s="1"/>
  <c r="I69" i="5" s="1"/>
  <c r="J69" i="5" s="1"/>
  <c r="K69" i="5" s="1"/>
  <c r="L69" i="5" s="1"/>
  <c r="C68" i="5"/>
  <c r="G68" i="5" s="1"/>
  <c r="H68" i="5" s="1"/>
  <c r="I68" i="5" s="1"/>
  <c r="J68" i="5" s="1"/>
  <c r="K68" i="5" s="1"/>
  <c r="L68" i="5" s="1"/>
  <c r="C67" i="5"/>
  <c r="G67" i="5" s="1"/>
  <c r="H67" i="5" s="1"/>
  <c r="I67" i="5" s="1"/>
  <c r="J67" i="5" s="1"/>
  <c r="K67" i="5" s="1"/>
  <c r="G36" i="1" a="1"/>
  <c r="H38" i="1" s="1"/>
  <c r="I36" i="1"/>
  <c r="H36" i="1"/>
  <c r="H37" i="1"/>
  <c r="G37" i="1"/>
  <c r="I38" i="1"/>
  <c r="I37" i="1"/>
  <c r="G38" i="1"/>
  <c r="C63" i="5" l="1"/>
  <c r="G63" i="5" s="1"/>
  <c r="H63" i="5" s="1"/>
  <c r="I63" i="5" s="1"/>
  <c r="J63" i="5" s="1"/>
  <c r="K63" i="5" s="1"/>
  <c r="K74" i="5" s="1"/>
  <c r="C66" i="5"/>
  <c r="G66" i="5" s="1"/>
  <c r="H66" i="5" s="1"/>
  <c r="I66" i="5" s="1"/>
  <c r="J66" i="5" s="1"/>
  <c r="K66" i="5" s="1"/>
  <c r="L66" i="5" s="1"/>
  <c r="C73" i="5"/>
  <c r="D72" i="5"/>
  <c r="K73" i="5"/>
  <c r="L67" i="5"/>
  <c r="D73" i="5" s="1"/>
  <c r="L61" i="5"/>
  <c r="G36" i="1"/>
  <c r="L36" i="1" a="1"/>
  <c r="L37" i="1" s="1"/>
  <c r="L63" i="5" l="1"/>
  <c r="C72" i="5"/>
  <c r="K72" i="5"/>
  <c r="E74" i="5"/>
  <c r="C74" i="5"/>
  <c r="E72" i="5"/>
  <c r="G72" i="5" a="1"/>
  <c r="L38" i="1"/>
  <c r="L36" i="1"/>
  <c r="C49" i="1" s="1"/>
  <c r="C43" i="1"/>
  <c r="C51" i="1"/>
  <c r="C50" i="1"/>
  <c r="C45" i="1"/>
  <c r="C44" i="1"/>
  <c r="G44" i="1" s="1"/>
  <c r="C46" i="1"/>
  <c r="C47" i="1"/>
  <c r="G72" i="5" l="1"/>
  <c r="I72" i="5"/>
  <c r="H74" i="5"/>
  <c r="I73" i="5"/>
  <c r="I74" i="5"/>
  <c r="G73" i="5"/>
  <c r="H72" i="5"/>
  <c r="H73" i="5"/>
  <c r="G74" i="5"/>
  <c r="C42" i="1"/>
  <c r="C48" i="1"/>
  <c r="G48" i="1" s="1"/>
  <c r="H48" i="1" s="1"/>
  <c r="I48" i="1" s="1"/>
  <c r="J48" i="1" s="1"/>
  <c r="K48" i="1" s="1"/>
  <c r="L48" i="1" s="1"/>
  <c r="G47" i="1"/>
  <c r="G51" i="1"/>
  <c r="H51" i="1" s="1"/>
  <c r="I51" i="1" s="1"/>
  <c r="J51" i="1" s="1"/>
  <c r="K51" i="1" s="1"/>
  <c r="L51" i="1" s="1"/>
  <c r="G49" i="1"/>
  <c r="H49" i="1" s="1"/>
  <c r="I49" i="1" s="1"/>
  <c r="J49" i="1" s="1"/>
  <c r="K49" i="1" s="1"/>
  <c r="L49" i="1" s="1"/>
  <c r="G45" i="1"/>
  <c r="G42" i="1"/>
  <c r="H42" i="1" s="1"/>
  <c r="G46" i="1"/>
  <c r="H46" i="1" s="1"/>
  <c r="I46" i="1" s="1"/>
  <c r="J46" i="1" s="1"/>
  <c r="K46" i="1" s="1"/>
  <c r="G50" i="1"/>
  <c r="H50" i="1" s="1"/>
  <c r="I50" i="1" s="1"/>
  <c r="J50" i="1" s="1"/>
  <c r="K50" i="1" s="1"/>
  <c r="L50" i="1" s="1"/>
  <c r="G43" i="1"/>
  <c r="H43" i="1" s="1"/>
  <c r="I43" i="1" s="1"/>
  <c r="J43" i="1" s="1"/>
  <c r="K43" i="1" s="1"/>
  <c r="L43" i="1" s="1"/>
  <c r="H45" i="1"/>
  <c r="I45" i="1" s="1"/>
  <c r="J45" i="1" s="1"/>
  <c r="K45" i="1" s="1"/>
  <c r="L45" i="1" s="1"/>
  <c r="H47" i="1"/>
  <c r="I47" i="1" s="1"/>
  <c r="J47" i="1" s="1"/>
  <c r="K47" i="1" s="1"/>
  <c r="L47" i="1" s="1"/>
  <c r="H44" i="1"/>
  <c r="I44" i="1" s="1"/>
  <c r="J44" i="1" s="1"/>
  <c r="K44" i="1" s="1"/>
  <c r="I42" i="1"/>
  <c r="J42" i="1" s="1"/>
  <c r="K42" i="1" s="1"/>
  <c r="L72" i="5" l="1" a="1"/>
  <c r="E54" i="1"/>
  <c r="C56" i="1"/>
  <c r="K54" i="1"/>
  <c r="L42" i="1"/>
  <c r="C54" i="1" s="1"/>
  <c r="K56" i="1"/>
  <c r="L46" i="1"/>
  <c r="K55" i="1"/>
  <c r="L44" i="1"/>
  <c r="C55" i="1"/>
  <c r="D54" i="1"/>
  <c r="L73" i="5" l="1"/>
  <c r="L72" i="5"/>
  <c r="L74" i="5"/>
  <c r="D55" i="1"/>
  <c r="D56" i="1"/>
  <c r="E56" i="1"/>
  <c r="E55" i="1"/>
  <c r="C83" i="5" l="1"/>
  <c r="G83" i="5" s="1"/>
  <c r="H83" i="5" s="1"/>
  <c r="I83" i="5" s="1"/>
  <c r="J83" i="5" s="1"/>
  <c r="K83" i="5" s="1"/>
  <c r="L83" i="5" s="1"/>
  <c r="C84" i="5"/>
  <c r="G84" i="5" s="1"/>
  <c r="H84" i="5" s="1"/>
  <c r="I84" i="5" s="1"/>
  <c r="J84" i="5" s="1"/>
  <c r="K84" i="5" s="1"/>
  <c r="L84" i="5" s="1"/>
  <c r="C82" i="5"/>
  <c r="G82" i="5" s="1"/>
  <c r="H82" i="5" s="1"/>
  <c r="I82" i="5" s="1"/>
  <c r="J82" i="5" s="1"/>
  <c r="K82" i="5" s="1"/>
  <c r="L82" i="5" s="1"/>
  <c r="C79" i="5"/>
  <c r="G79" i="5" s="1"/>
  <c r="H79" i="5" s="1"/>
  <c r="I79" i="5" s="1"/>
  <c r="J79" i="5" s="1"/>
  <c r="K79" i="5" s="1"/>
  <c r="C78" i="5"/>
  <c r="G78" i="5" s="1"/>
  <c r="H78" i="5" s="1"/>
  <c r="I78" i="5" s="1"/>
  <c r="J78" i="5" s="1"/>
  <c r="K78" i="5" s="1"/>
  <c r="L78" i="5" s="1"/>
  <c r="C80" i="5"/>
  <c r="G80" i="5" s="1"/>
  <c r="H80" i="5" s="1"/>
  <c r="I80" i="5" s="1"/>
  <c r="J80" i="5" s="1"/>
  <c r="K80" i="5" s="1"/>
  <c r="L80" i="5" s="1"/>
  <c r="C81" i="5"/>
  <c r="G81" i="5" s="1"/>
  <c r="H81" i="5" s="1"/>
  <c r="I81" i="5" s="1"/>
  <c r="J81" i="5" s="1"/>
  <c r="K81" i="5" s="1"/>
  <c r="C87" i="5"/>
  <c r="G87" i="5" s="1"/>
  <c r="H87" i="5" s="1"/>
  <c r="I87" i="5" s="1"/>
  <c r="J87" i="5" s="1"/>
  <c r="K87" i="5" s="1"/>
  <c r="L87" i="5" s="1"/>
  <c r="C85" i="5"/>
  <c r="G85" i="5" s="1"/>
  <c r="H85" i="5" s="1"/>
  <c r="I85" i="5" s="1"/>
  <c r="J85" i="5" s="1"/>
  <c r="K85" i="5" s="1"/>
  <c r="C86" i="5"/>
  <c r="G86" i="5" s="1"/>
  <c r="H86" i="5" s="1"/>
  <c r="I86" i="5" s="1"/>
  <c r="J86" i="5" s="1"/>
  <c r="K86" i="5" s="1"/>
  <c r="L86" i="5" s="1"/>
  <c r="G54" i="1" a="1"/>
  <c r="I55" i="1" s="1"/>
  <c r="K90" i="5" l="1"/>
  <c r="L79" i="5"/>
  <c r="K92" i="5"/>
  <c r="L81" i="5"/>
  <c r="D90" i="5"/>
  <c r="C91" i="5"/>
  <c r="K91" i="5"/>
  <c r="L85" i="5"/>
  <c r="D91" i="5" s="1"/>
  <c r="H56" i="1"/>
  <c r="G55" i="1"/>
  <c r="G54" i="1"/>
  <c r="G56" i="1"/>
  <c r="I54" i="1"/>
  <c r="H54" i="1"/>
  <c r="H55" i="1"/>
  <c r="I56" i="1"/>
  <c r="E90" i="5" l="1"/>
  <c r="E92" i="5"/>
  <c r="C92" i="5"/>
  <c r="G90" i="5" a="1"/>
  <c r="C90" i="5"/>
  <c r="L54" i="1" a="1"/>
  <c r="L54" i="1" s="1"/>
  <c r="H92" i="5" l="1"/>
  <c r="I91" i="5"/>
  <c r="I92" i="5"/>
  <c r="G91" i="5"/>
  <c r="H90" i="5"/>
  <c r="H91" i="5"/>
  <c r="G92" i="5"/>
  <c r="G90" i="5"/>
  <c r="L90" i="5" s="1" a="1"/>
  <c r="I90" i="5"/>
  <c r="L55" i="1"/>
  <c r="C65" i="1" s="1"/>
  <c r="L56" i="1"/>
  <c r="C64" i="1" s="1"/>
  <c r="C62" i="1"/>
  <c r="C66" i="1"/>
  <c r="C67" i="1"/>
  <c r="C60" i="1"/>
  <c r="C61" i="1"/>
  <c r="C63" i="1"/>
  <c r="L91" i="5" l="1"/>
  <c r="L90" i="5"/>
  <c r="L92" i="5"/>
  <c r="C69" i="1"/>
  <c r="C68" i="1"/>
  <c r="G67" i="1"/>
  <c r="H67" i="1" s="1"/>
  <c r="I67" i="1" s="1"/>
  <c r="J67" i="1" s="1"/>
  <c r="K67" i="1" s="1"/>
  <c r="L67" i="1" s="1"/>
  <c r="G63" i="1"/>
  <c r="H63" i="1" s="1"/>
  <c r="I63" i="1" s="1"/>
  <c r="J63" i="1" s="1"/>
  <c r="K63" i="1" s="1"/>
  <c r="L63" i="1" s="1"/>
  <c r="G66" i="1"/>
  <c r="H66" i="1" s="1"/>
  <c r="I66" i="1" s="1"/>
  <c r="J66" i="1" s="1"/>
  <c r="K66" i="1" s="1"/>
  <c r="L66" i="1" s="1"/>
  <c r="G65" i="1"/>
  <c r="H65" i="1" s="1"/>
  <c r="I65" i="1" s="1"/>
  <c r="J65" i="1" s="1"/>
  <c r="K65" i="1" s="1"/>
  <c r="L65" i="1" s="1"/>
  <c r="G61" i="1"/>
  <c r="H61" i="1" s="1"/>
  <c r="I61" i="1" s="1"/>
  <c r="J61" i="1" s="1"/>
  <c r="K61" i="1" s="1"/>
  <c r="L61" i="1" s="1"/>
  <c r="G69" i="1"/>
  <c r="H69" i="1" s="1"/>
  <c r="I69" i="1" s="1"/>
  <c r="J69" i="1" s="1"/>
  <c r="K69" i="1" s="1"/>
  <c r="L69" i="1" s="1"/>
  <c r="G62" i="1"/>
  <c r="H62" i="1" s="1"/>
  <c r="I62" i="1" s="1"/>
  <c r="J62" i="1" s="1"/>
  <c r="K62" i="1" s="1"/>
  <c r="G60" i="1"/>
  <c r="H60" i="1" s="1"/>
  <c r="I60" i="1" s="1"/>
  <c r="J60" i="1" s="1"/>
  <c r="K60" i="1" s="1"/>
  <c r="G68" i="1"/>
  <c r="H68" i="1" s="1"/>
  <c r="I68" i="1" s="1"/>
  <c r="J68" i="1" s="1"/>
  <c r="K68" i="1" s="1"/>
  <c r="L68" i="1" s="1"/>
  <c r="G64" i="1"/>
  <c r="H64" i="1" s="1"/>
  <c r="I64" i="1" s="1"/>
  <c r="J64" i="1" s="1"/>
  <c r="K64" i="1" s="1"/>
  <c r="C101" i="7"/>
  <c r="C110" i="7"/>
  <c r="C103" i="7"/>
  <c r="C111" i="7"/>
  <c r="C95" i="7"/>
  <c r="C96" i="7"/>
  <c r="C94" i="7"/>
  <c r="C97" i="7"/>
  <c r="C105" i="7"/>
  <c r="C106" i="7"/>
  <c r="C99" i="7"/>
  <c r="C100" i="7"/>
  <c r="C98" i="7"/>
  <c r="C104" i="7"/>
  <c r="C102" i="7"/>
  <c r="C91" i="7"/>
  <c r="C93" i="7"/>
  <c r="C92" i="7"/>
  <c r="C90" i="7"/>
  <c r="C107" i="7"/>
  <c r="C108" i="7"/>
  <c r="C109" i="7"/>
  <c r="L62" i="1" l="1"/>
  <c r="K73" i="1"/>
  <c r="C74" i="1"/>
  <c r="E72" i="1"/>
  <c r="L64" i="1"/>
  <c r="K74" i="1"/>
  <c r="L60" i="1"/>
  <c r="C72" i="1" s="1"/>
  <c r="K72" i="1"/>
  <c r="C73" i="1"/>
  <c r="D72" i="1"/>
  <c r="G100" i="7"/>
  <c r="G99" i="7"/>
  <c r="H99" i="7" s="1"/>
  <c r="G94" i="7"/>
  <c r="H94" i="7" s="1"/>
  <c r="G103" i="7"/>
  <c r="H103" i="7" s="1"/>
  <c r="G107" i="7"/>
  <c r="G97" i="7"/>
  <c r="G90" i="7"/>
  <c r="G92" i="7"/>
  <c r="H92" i="7" s="1"/>
  <c r="G104" i="7"/>
  <c r="G106" i="7"/>
  <c r="H106" i="7" s="1"/>
  <c r="G96" i="7"/>
  <c r="H96" i="7" s="1"/>
  <c r="G110" i="7"/>
  <c r="H110" i="7" s="1"/>
  <c r="G91" i="7"/>
  <c r="H91" i="7" s="1"/>
  <c r="G111" i="7"/>
  <c r="H111" i="7" s="1"/>
  <c r="G102" i="7"/>
  <c r="R94" i="7" s="1"/>
  <c r="G109" i="7"/>
  <c r="H109" i="7" s="1"/>
  <c r="G108" i="7"/>
  <c r="H108" i="7" s="1"/>
  <c r="G93" i="7"/>
  <c r="H93" i="7" s="1"/>
  <c r="G98" i="7"/>
  <c r="G105" i="7"/>
  <c r="H105" i="7" s="1"/>
  <c r="G95" i="7"/>
  <c r="H95" i="7" s="1"/>
  <c r="G101" i="7"/>
  <c r="H101" i="7" s="1"/>
  <c r="R92" i="7" l="1"/>
  <c r="K90" i="7"/>
  <c r="J91" i="7" s="1"/>
  <c r="R96" i="7"/>
  <c r="R95" i="7"/>
  <c r="R91" i="7"/>
  <c r="O93" i="7"/>
  <c r="M95" i="7"/>
  <c r="J92" i="7"/>
  <c r="L90" i="7"/>
  <c r="N93" i="7"/>
  <c r="M94" i="7"/>
  <c r="R93" i="7"/>
  <c r="R90" i="7"/>
  <c r="E74" i="1"/>
  <c r="E73" i="1"/>
  <c r="D74" i="1"/>
  <c r="G72" i="1" a="1"/>
  <c r="D73" i="1"/>
  <c r="H97" i="7"/>
  <c r="L92" i="7" s="1"/>
  <c r="H98" i="7"/>
  <c r="H102" i="7"/>
  <c r="N94" i="7" s="1"/>
  <c r="H104" i="7"/>
  <c r="H90" i="7"/>
  <c r="J90" i="7" s="1"/>
  <c r="H107" i="7"/>
  <c r="H100" i="7"/>
  <c r="K91" i="7" l="1"/>
  <c r="P96" i="7"/>
  <c r="P94" i="7"/>
  <c r="N96" i="7"/>
  <c r="P95" i="7"/>
  <c r="O96" i="7"/>
  <c r="O95" i="7"/>
  <c r="K93" i="7"/>
  <c r="M93" i="7"/>
  <c r="M91" i="7"/>
  <c r="M92" i="7"/>
  <c r="J99" i="7" s="1" a="1"/>
  <c r="L93" i="7"/>
  <c r="G74" i="1"/>
  <c r="G72" i="1"/>
  <c r="I73" i="1"/>
  <c r="H73" i="1"/>
  <c r="I72" i="1"/>
  <c r="G73" i="1"/>
  <c r="I74" i="1"/>
  <c r="H74" i="1"/>
  <c r="H72" i="1"/>
  <c r="J101" i="7" l="1"/>
  <c r="O101" i="7"/>
  <c r="M105" i="7"/>
  <c r="P105" i="7"/>
  <c r="L101" i="7"/>
  <c r="J105" i="7"/>
  <c r="O102" i="7"/>
  <c r="M100" i="7"/>
  <c r="P104" i="7"/>
  <c r="N102" i="7"/>
  <c r="L100" i="7"/>
  <c r="L105" i="7"/>
  <c r="J103" i="7"/>
  <c r="O100" i="7"/>
  <c r="O105" i="7"/>
  <c r="M103" i="7"/>
  <c r="K101" i="7"/>
  <c r="M104" i="7"/>
  <c r="K102" i="7"/>
  <c r="P99" i="7"/>
  <c r="L104" i="7"/>
  <c r="J102" i="7"/>
  <c r="O99" i="7"/>
  <c r="O104" i="7"/>
  <c r="M102" i="7"/>
  <c r="K100" i="7"/>
  <c r="K105" i="7"/>
  <c r="P102" i="7"/>
  <c r="N100" i="7"/>
  <c r="P103" i="7"/>
  <c r="N101" i="7"/>
  <c r="L99" i="7"/>
  <c r="O103" i="7"/>
  <c r="M101" i="7"/>
  <c r="K99" i="7"/>
  <c r="K104" i="7"/>
  <c r="P101" i="7"/>
  <c r="N99" i="7"/>
  <c r="N104" i="7"/>
  <c r="L102" i="7"/>
  <c r="J100" i="7"/>
  <c r="N105" i="7"/>
  <c r="L103" i="7"/>
  <c r="K103" i="7"/>
  <c r="P100" i="7"/>
  <c r="N103" i="7"/>
  <c r="J99" i="7"/>
  <c r="J104" i="7"/>
  <c r="M99" i="7"/>
  <c r="L72" i="1" a="1"/>
  <c r="R99" i="7" l="1" a="1"/>
  <c r="R103" i="7" s="1"/>
  <c r="L73" i="1"/>
  <c r="L72" i="1"/>
  <c r="L74" i="1"/>
  <c r="R104" i="7" l="1"/>
  <c r="C128" i="7"/>
  <c r="G128" i="7" s="1"/>
  <c r="H128" i="7" s="1"/>
  <c r="R105" i="7"/>
  <c r="C130" i="7" s="1"/>
  <c r="G130" i="7" s="1"/>
  <c r="R99" i="7"/>
  <c r="R100" i="7"/>
  <c r="R101" i="7"/>
  <c r="R102" i="7"/>
  <c r="C133" i="7"/>
  <c r="G133" i="7" s="1"/>
  <c r="C134" i="7"/>
  <c r="G134" i="7" s="1"/>
  <c r="H134" i="7" s="1"/>
  <c r="C135" i="7"/>
  <c r="G135" i="7" s="1"/>
  <c r="H135" i="7" s="1"/>
  <c r="C132" i="7"/>
  <c r="G132" i="7" s="1"/>
  <c r="H132" i="7" s="1"/>
  <c r="C131" i="7"/>
  <c r="G131" i="7" s="1"/>
  <c r="H131" i="7" s="1"/>
  <c r="C119" i="7"/>
  <c r="G119" i="7" s="1"/>
  <c r="H119" i="7" s="1"/>
  <c r="C87" i="1"/>
  <c r="C86" i="1"/>
  <c r="C81" i="1"/>
  <c r="C78" i="1"/>
  <c r="C85" i="1"/>
  <c r="C84" i="1"/>
  <c r="C79" i="1"/>
  <c r="C83" i="1"/>
  <c r="C82" i="1"/>
  <c r="C80" i="1"/>
  <c r="H130" i="7" l="1"/>
  <c r="C117" i="7"/>
  <c r="G117" i="7" s="1"/>
  <c r="H117" i="7" s="1"/>
  <c r="C118" i="7"/>
  <c r="G118" i="7" s="1"/>
  <c r="H118" i="7" s="1"/>
  <c r="C129" i="7"/>
  <c r="G129" i="7" s="1"/>
  <c r="H129" i="7" s="1"/>
  <c r="N120" i="7" s="1"/>
  <c r="C136" i="7"/>
  <c r="G136" i="7" s="1"/>
  <c r="H136" i="7" s="1"/>
  <c r="C127" i="7"/>
  <c r="G127" i="7" s="1"/>
  <c r="H127" i="7" s="1"/>
  <c r="C137" i="7"/>
  <c r="G137" i="7" s="1"/>
  <c r="H137" i="7" s="1"/>
  <c r="C122" i="7"/>
  <c r="G122" i="7" s="1"/>
  <c r="H122" i="7" s="1"/>
  <c r="C123" i="7"/>
  <c r="G123" i="7" s="1"/>
  <c r="C120" i="7"/>
  <c r="G120" i="7" s="1"/>
  <c r="H120" i="7" s="1"/>
  <c r="C121" i="7"/>
  <c r="G121" i="7" s="1"/>
  <c r="H121" i="7" s="1"/>
  <c r="C116" i="7"/>
  <c r="G116" i="7" s="1"/>
  <c r="H116" i="7" s="1"/>
  <c r="C125" i="7"/>
  <c r="G125" i="7" s="1"/>
  <c r="H125" i="7" s="1"/>
  <c r="C126" i="7"/>
  <c r="G126" i="7" s="1"/>
  <c r="C124" i="7"/>
  <c r="G124" i="7" s="1"/>
  <c r="J116" i="7"/>
  <c r="R122" i="7"/>
  <c r="R121" i="7"/>
  <c r="H133" i="7"/>
  <c r="R116" i="7"/>
  <c r="G78" i="1"/>
  <c r="H78" i="1" s="1"/>
  <c r="I78" i="1" s="1"/>
  <c r="J78" i="1" s="1"/>
  <c r="K78" i="1" s="1"/>
  <c r="G79" i="1"/>
  <c r="H79" i="1" s="1"/>
  <c r="I79" i="1" s="1"/>
  <c r="J79" i="1" s="1"/>
  <c r="K79" i="1" s="1"/>
  <c r="L79" i="1" s="1"/>
  <c r="G81" i="1"/>
  <c r="H81" i="1" s="1"/>
  <c r="I81" i="1" s="1"/>
  <c r="J81" i="1" s="1"/>
  <c r="K81" i="1" s="1"/>
  <c r="L81" i="1" s="1"/>
  <c r="G80" i="1"/>
  <c r="H80" i="1" s="1"/>
  <c r="I80" i="1" s="1"/>
  <c r="J80" i="1" s="1"/>
  <c r="K80" i="1" s="1"/>
  <c r="G86" i="1"/>
  <c r="H86" i="1" s="1"/>
  <c r="I86" i="1" s="1"/>
  <c r="J86" i="1" s="1"/>
  <c r="K86" i="1" s="1"/>
  <c r="L86" i="1" s="1"/>
  <c r="G83" i="1"/>
  <c r="H83" i="1" s="1"/>
  <c r="I83" i="1" s="1"/>
  <c r="J83" i="1" s="1"/>
  <c r="K83" i="1" s="1"/>
  <c r="L83" i="1" s="1"/>
  <c r="G84" i="1"/>
  <c r="H84" i="1" s="1"/>
  <c r="I84" i="1" s="1"/>
  <c r="J84" i="1" s="1"/>
  <c r="K84" i="1" s="1"/>
  <c r="L84" i="1" s="1"/>
  <c r="G82" i="1"/>
  <c r="H82" i="1" s="1"/>
  <c r="I82" i="1" s="1"/>
  <c r="J82" i="1" s="1"/>
  <c r="K82" i="1" s="1"/>
  <c r="G85" i="1"/>
  <c r="H85" i="1" s="1"/>
  <c r="I85" i="1" s="1"/>
  <c r="J85" i="1" s="1"/>
  <c r="K85" i="1" s="1"/>
  <c r="L85" i="1" s="1"/>
  <c r="G87" i="1"/>
  <c r="H87" i="1" s="1"/>
  <c r="I87" i="1" s="1"/>
  <c r="J87" i="1" s="1"/>
  <c r="K87" i="1" s="1"/>
  <c r="L87" i="1" s="1"/>
  <c r="H126" i="7" l="1"/>
  <c r="R117" i="7"/>
  <c r="K116" i="7"/>
  <c r="J117" i="7" s="1"/>
  <c r="H123" i="7"/>
  <c r="L118" i="7" s="1"/>
  <c r="R118" i="7"/>
  <c r="M121" i="7"/>
  <c r="O119" i="7"/>
  <c r="M120" i="7"/>
  <c r="N119" i="7"/>
  <c r="R120" i="7"/>
  <c r="H124" i="7"/>
  <c r="R119" i="7"/>
  <c r="J118" i="7"/>
  <c r="L116" i="7"/>
  <c r="N122" i="7"/>
  <c r="P120" i="7"/>
  <c r="O122" i="7"/>
  <c r="O121" i="7"/>
  <c r="P121" i="7"/>
  <c r="P122" i="7"/>
  <c r="C91" i="1"/>
  <c r="D90" i="1"/>
  <c r="K92" i="1"/>
  <c r="L82" i="1"/>
  <c r="K91" i="1"/>
  <c r="L80" i="1"/>
  <c r="E90" i="1"/>
  <c r="C92" i="1"/>
  <c r="K90" i="1"/>
  <c r="L78" i="1"/>
  <c r="C90" i="1" s="1"/>
  <c r="K119" i="7" l="1"/>
  <c r="M119" i="7"/>
  <c r="M117" i="7"/>
  <c r="K117" i="7"/>
  <c r="J125" i="7" s="1" a="1"/>
  <c r="M118" i="7"/>
  <c r="L119" i="7"/>
  <c r="E92" i="1"/>
  <c r="E91" i="1"/>
  <c r="D92" i="1"/>
  <c r="D91" i="1"/>
  <c r="G90" i="1" s="1" a="1"/>
  <c r="N128" i="7" l="1"/>
  <c r="K128" i="7"/>
  <c r="O125" i="7"/>
  <c r="K131" i="7"/>
  <c r="N127" i="7"/>
  <c r="K125" i="7"/>
  <c r="N130" i="7"/>
  <c r="L129" i="7"/>
  <c r="P126" i="7"/>
  <c r="J125" i="7"/>
  <c r="O126" i="7"/>
  <c r="P125" i="7"/>
  <c r="O130" i="7"/>
  <c r="P128" i="7"/>
  <c r="L125" i="7"/>
  <c r="K130" i="7"/>
  <c r="L128" i="7"/>
  <c r="J127" i="7"/>
  <c r="P131" i="7"/>
  <c r="J130" i="7"/>
  <c r="M126" i="7"/>
  <c r="J129" i="7"/>
  <c r="K127" i="7"/>
  <c r="M128" i="7"/>
  <c r="N126" i="7"/>
  <c r="P127" i="7"/>
  <c r="M131" i="7"/>
  <c r="O127" i="7"/>
  <c r="P130" i="7"/>
  <c r="L131" i="7"/>
  <c r="L130" i="7"/>
  <c r="O129" i="7"/>
  <c r="J126" i="7"/>
  <c r="N129" i="7"/>
  <c r="O131" i="7"/>
  <c r="O128" i="7"/>
  <c r="M130" i="7"/>
  <c r="J128" i="7"/>
  <c r="K126" i="7"/>
  <c r="R125" i="7" s="1" a="1"/>
  <c r="P129" i="7"/>
  <c r="M127" i="7"/>
  <c r="N125" i="7"/>
  <c r="N131" i="7"/>
  <c r="K129" i="7"/>
  <c r="L127" i="7"/>
  <c r="M125" i="7"/>
  <c r="L126" i="7"/>
  <c r="M129" i="7"/>
  <c r="J131" i="7"/>
  <c r="G92" i="1"/>
  <c r="G90" i="1"/>
  <c r="I91" i="1"/>
  <c r="H91" i="1"/>
  <c r="I90" i="1"/>
  <c r="G91" i="1"/>
  <c r="I92" i="1"/>
  <c r="H92" i="1"/>
  <c r="H90" i="1"/>
  <c r="R131" i="7" l="1"/>
  <c r="R129" i="7"/>
  <c r="R127" i="7"/>
  <c r="R125" i="7"/>
  <c r="R130" i="7"/>
  <c r="R128" i="7"/>
  <c r="R126" i="7"/>
  <c r="L90" i="1" a="1"/>
  <c r="C142" i="7" l="1"/>
  <c r="G142" i="7" s="1"/>
  <c r="C145" i="7"/>
  <c r="G145" i="7" s="1"/>
  <c r="H145" i="7" s="1"/>
  <c r="C144" i="7"/>
  <c r="G144" i="7" s="1"/>
  <c r="H144" i="7" s="1"/>
  <c r="C143" i="7"/>
  <c r="G143" i="7" s="1"/>
  <c r="H143" i="7" s="1"/>
  <c r="C150" i="7"/>
  <c r="G150" i="7" s="1"/>
  <c r="C152" i="7"/>
  <c r="G152" i="7" s="1"/>
  <c r="C151" i="7"/>
  <c r="G151" i="7" s="1"/>
  <c r="H151" i="7" s="1"/>
  <c r="C147" i="7"/>
  <c r="G147" i="7" s="1"/>
  <c r="H147" i="7" s="1"/>
  <c r="C149" i="7"/>
  <c r="G149" i="7" s="1"/>
  <c r="C148" i="7"/>
  <c r="G148" i="7" s="1"/>
  <c r="H148" i="7" s="1"/>
  <c r="C146" i="7"/>
  <c r="G146" i="7" s="1"/>
  <c r="H146" i="7" s="1"/>
  <c r="C163" i="7"/>
  <c r="G163" i="7" s="1"/>
  <c r="H163" i="7" s="1"/>
  <c r="C162" i="7"/>
  <c r="G162" i="7" s="1"/>
  <c r="H162" i="7" s="1"/>
  <c r="C153" i="7"/>
  <c r="G153" i="7" s="1"/>
  <c r="H153" i="7" s="1"/>
  <c r="C155" i="7"/>
  <c r="G155" i="7" s="1"/>
  <c r="H155" i="7" s="1"/>
  <c r="C154" i="7"/>
  <c r="G154" i="7" s="1"/>
  <c r="C156" i="7"/>
  <c r="G156" i="7" s="1"/>
  <c r="C160" i="7"/>
  <c r="G160" i="7" s="1"/>
  <c r="H160" i="7" s="1"/>
  <c r="C159" i="7"/>
  <c r="G159" i="7" s="1"/>
  <c r="C161" i="7"/>
  <c r="G161" i="7" s="1"/>
  <c r="H161" i="7" s="1"/>
  <c r="C158" i="7"/>
  <c r="G158" i="7" s="1"/>
  <c r="H158" i="7" s="1"/>
  <c r="C157" i="7"/>
  <c r="G157" i="7" s="1"/>
  <c r="H157" i="7" s="1"/>
  <c r="L92" i="1"/>
  <c r="L91" i="1"/>
  <c r="L90" i="1"/>
  <c r="R146" i="7" l="1"/>
  <c r="H154" i="7"/>
  <c r="K142" i="7"/>
  <c r="J143" i="7" s="1"/>
  <c r="R147" i="7"/>
  <c r="H159" i="7"/>
  <c r="M146" i="7"/>
  <c r="N145" i="7"/>
  <c r="J144" i="7"/>
  <c r="L142" i="7"/>
  <c r="R143" i="7"/>
  <c r="H152" i="7"/>
  <c r="R148" i="7"/>
  <c r="H156" i="7"/>
  <c r="M147" i="7"/>
  <c r="O145" i="7"/>
  <c r="R144" i="7"/>
  <c r="H149" i="7"/>
  <c r="R145" i="7"/>
  <c r="H150" i="7"/>
  <c r="K143" i="7" s="1"/>
  <c r="R142" i="7"/>
  <c r="H142" i="7"/>
  <c r="J142" i="7" s="1"/>
  <c r="C96" i="1"/>
  <c r="G96" i="1" s="1"/>
  <c r="H96" i="1" s="1"/>
  <c r="I96" i="1" s="1"/>
  <c r="J96" i="1" s="1"/>
  <c r="K96" i="1" s="1"/>
  <c r="C99" i="1"/>
  <c r="G99" i="1" s="1"/>
  <c r="H99" i="1" s="1"/>
  <c r="I99" i="1" s="1"/>
  <c r="J99" i="1" s="1"/>
  <c r="K99" i="1" s="1"/>
  <c r="L99" i="1" s="1"/>
  <c r="C102" i="1"/>
  <c r="G102" i="1" s="1"/>
  <c r="H102" i="1" s="1"/>
  <c r="I102" i="1" s="1"/>
  <c r="J102" i="1" s="1"/>
  <c r="K102" i="1" s="1"/>
  <c r="L102" i="1" s="1"/>
  <c r="C103" i="1"/>
  <c r="G103" i="1" s="1"/>
  <c r="H103" i="1" s="1"/>
  <c r="I103" i="1" s="1"/>
  <c r="J103" i="1" s="1"/>
  <c r="K103" i="1" s="1"/>
  <c r="L103" i="1" s="1"/>
  <c r="C97" i="1"/>
  <c r="G97" i="1" s="1"/>
  <c r="H97" i="1" s="1"/>
  <c r="I97" i="1" s="1"/>
  <c r="J97" i="1" s="1"/>
  <c r="K97" i="1" s="1"/>
  <c r="L97" i="1" s="1"/>
  <c r="C98" i="1"/>
  <c r="G98" i="1" s="1"/>
  <c r="H98" i="1" s="1"/>
  <c r="I98" i="1" s="1"/>
  <c r="J98" i="1" s="1"/>
  <c r="K98" i="1" s="1"/>
  <c r="C101" i="1"/>
  <c r="G101" i="1" s="1"/>
  <c r="H101" i="1" s="1"/>
  <c r="I101" i="1" s="1"/>
  <c r="J101" i="1" s="1"/>
  <c r="K101" i="1" s="1"/>
  <c r="L101" i="1" s="1"/>
  <c r="C100" i="1"/>
  <c r="G100" i="1" s="1"/>
  <c r="H100" i="1" s="1"/>
  <c r="I100" i="1" s="1"/>
  <c r="J100" i="1" s="1"/>
  <c r="K100" i="1" s="1"/>
  <c r="C104" i="1"/>
  <c r="G104" i="1" s="1"/>
  <c r="H104" i="1" s="1"/>
  <c r="I104" i="1" s="1"/>
  <c r="J104" i="1" s="1"/>
  <c r="K104" i="1" s="1"/>
  <c r="L104" i="1" s="1"/>
  <c r="C105" i="1"/>
  <c r="G105" i="1" s="1"/>
  <c r="H105" i="1" s="1"/>
  <c r="I105" i="1" s="1"/>
  <c r="J105" i="1" s="1"/>
  <c r="K105" i="1" s="1"/>
  <c r="L105" i="1" s="1"/>
  <c r="M144" i="7" l="1"/>
  <c r="L145" i="7"/>
  <c r="P146" i="7"/>
  <c r="N148" i="7"/>
  <c r="P148" i="7"/>
  <c r="P147" i="7"/>
  <c r="O148" i="7"/>
  <c r="O147" i="7"/>
  <c r="N146" i="7"/>
  <c r="M145" i="7"/>
  <c r="M143" i="7"/>
  <c r="J151" i="7" s="1" a="1"/>
  <c r="K145" i="7"/>
  <c r="L144" i="7"/>
  <c r="L100" i="1"/>
  <c r="K110" i="1"/>
  <c r="E108" i="1"/>
  <c r="C110" i="1"/>
  <c r="L98" i="1"/>
  <c r="D109" i="1" s="1"/>
  <c r="K109" i="1"/>
  <c r="D108" i="1"/>
  <c r="C109" i="1"/>
  <c r="L96" i="1"/>
  <c r="C108" i="1" s="1"/>
  <c r="K108" i="1"/>
  <c r="M156" i="7" l="1"/>
  <c r="K152" i="7"/>
  <c r="P155" i="7"/>
  <c r="N153" i="7"/>
  <c r="L151" i="7"/>
  <c r="O155" i="7"/>
  <c r="M153" i="7"/>
  <c r="K151" i="7"/>
  <c r="K156" i="7"/>
  <c r="P153" i="7"/>
  <c r="N151" i="7"/>
  <c r="N156" i="7"/>
  <c r="L154" i="7"/>
  <c r="J152" i="7"/>
  <c r="N157" i="7"/>
  <c r="L155" i="7"/>
  <c r="J153" i="7"/>
  <c r="M157" i="7"/>
  <c r="K155" i="7"/>
  <c r="P152" i="7"/>
  <c r="P157" i="7"/>
  <c r="N155" i="7"/>
  <c r="L153" i="7"/>
  <c r="J151" i="7"/>
  <c r="J156" i="7"/>
  <c r="O153" i="7"/>
  <c r="M151" i="7"/>
  <c r="J157" i="7"/>
  <c r="O154" i="7"/>
  <c r="M152" i="7"/>
  <c r="P156" i="7"/>
  <c r="N154" i="7"/>
  <c r="L152" i="7"/>
  <c r="L157" i="7"/>
  <c r="J155" i="7"/>
  <c r="O152" i="7"/>
  <c r="O157" i="7"/>
  <c r="M155" i="7"/>
  <c r="K153" i="7"/>
  <c r="K154" i="7"/>
  <c r="P151" i="7"/>
  <c r="L156" i="7"/>
  <c r="J154" i="7"/>
  <c r="O151" i="7"/>
  <c r="O156" i="7"/>
  <c r="M154" i="7"/>
  <c r="K157" i="7"/>
  <c r="P154" i="7"/>
  <c r="N152" i="7"/>
  <c r="E110" i="1"/>
  <c r="E109" i="1"/>
  <c r="D110" i="1"/>
  <c r="R151" i="7" l="1" a="1"/>
  <c r="R154" i="7" s="1"/>
  <c r="G108" i="1" a="1"/>
  <c r="H108" i="1" s="1"/>
  <c r="R155" i="7" l="1"/>
  <c r="R156" i="7"/>
  <c r="R157" i="7"/>
  <c r="R151" i="7"/>
  <c r="R152" i="7"/>
  <c r="R153" i="7"/>
  <c r="G110" i="1"/>
  <c r="I109" i="1"/>
  <c r="H110" i="1"/>
  <c r="I110" i="1"/>
  <c r="H109" i="1"/>
  <c r="I108" i="1"/>
  <c r="G108" i="1"/>
  <c r="G109" i="1"/>
  <c r="L108" i="1" l="1" a="1"/>
  <c r="L110" i="1" s="1"/>
  <c r="L108" i="1" l="1"/>
  <c r="L109" i="1"/>
</calcChain>
</file>

<file path=xl/sharedStrings.xml><?xml version="1.0" encoding="utf-8"?>
<sst xmlns="http://schemas.openxmlformats.org/spreadsheetml/2006/main" count="359" uniqueCount="44">
  <si>
    <t>Date</t>
  </si>
  <si>
    <t>By</t>
  </si>
  <si>
    <t>Pipe Network Analysis</t>
  </si>
  <si>
    <t>Pipe</t>
  </si>
  <si>
    <t>Flow</t>
  </si>
  <si>
    <t>m3/s</t>
  </si>
  <si>
    <t>Length</t>
  </si>
  <si>
    <t>m</t>
  </si>
  <si>
    <t>Diameter</t>
  </si>
  <si>
    <t>Friction</t>
  </si>
  <si>
    <t>Factor, f</t>
  </si>
  <si>
    <t>K</t>
  </si>
  <si>
    <t>hL</t>
  </si>
  <si>
    <t>nHL/Q</t>
  </si>
  <si>
    <t>e/D</t>
  </si>
  <si>
    <t>Reynold's</t>
  </si>
  <si>
    <t>Number</t>
  </si>
  <si>
    <t>Velocity</t>
  </si>
  <si>
    <t>m/s</t>
  </si>
  <si>
    <t>Coefficient Matrix</t>
  </si>
  <si>
    <t>Inverse</t>
  </si>
  <si>
    <t>F</t>
  </si>
  <si>
    <t>DQ</t>
  </si>
  <si>
    <t>Head Loss</t>
  </si>
  <si>
    <t xml:space="preserve">A water supply distribution system is shown in the figure below. All pipes are cast iron with lengths </t>
  </si>
  <si>
    <t>Iteration</t>
  </si>
  <si>
    <t>and diameters as provided in table below. Perform pipe network analysis and calculate water flow in all</t>
  </si>
  <si>
    <t>branches.</t>
  </si>
  <si>
    <t>mm</t>
  </si>
  <si>
    <t>C</t>
  </si>
  <si>
    <t>HL, m</t>
  </si>
  <si>
    <t>Inverted Matrix</t>
  </si>
  <si>
    <t>Solve for water piping network as shown in diagram. Hazen-Williams coefficient, C for each pipe is provided in table below.</t>
  </si>
  <si>
    <t>ΔQ1</t>
  </si>
  <si>
    <t>ΔQ2</t>
  </si>
  <si>
    <t>ΔQ3</t>
  </si>
  <si>
    <t>ΔQ4</t>
  </si>
  <si>
    <t>ΔQ5</t>
  </si>
  <si>
    <t>ΔQ6</t>
  </si>
  <si>
    <t>ΔQ7</t>
  </si>
  <si>
    <t>CheGuide.com</t>
  </si>
  <si>
    <t>Chemical Engineer's Guide</t>
  </si>
  <si>
    <t>17-Dec-15</t>
  </si>
  <si>
    <t>CheGuide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</si>
</sst>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[$-14009]dd/mm/yy;@"/>
    <numFmt numFmtId="166" formatCode="0.00000"/>
    <numFmt numFmtId="167" formatCode="0.0"/>
    <numFmt numFmtId="168" formatCode="0.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1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quotePrefix="1"/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64" fontId="4" fillId="0" borderId="0" xfId="0" applyNumberFormat="1" applyFont="1" applyBorder="1" applyProtection="1"/>
    <xf numFmtId="165" fontId="4" fillId="2" borderId="0" xfId="0" quotePrefix="1" applyNumberFormat="1" applyFont="1" applyFill="1" applyBorder="1" applyAlignment="1" applyProtection="1">
      <alignment horizontal="left"/>
      <protection locked="0"/>
    </xf>
    <xf numFmtId="165" fontId="4" fillId="2" borderId="0" xfId="0" applyNumberFormat="1" applyFont="1" applyFill="1" applyBorder="1" applyAlignment="1" applyProtection="1">
      <alignment horizontal="left"/>
      <protection locked="0"/>
    </xf>
    <xf numFmtId="164" fontId="5" fillId="0" borderId="0" xfId="0" applyNumberFormat="1" applyFont="1" applyProtection="1"/>
    <xf numFmtId="164" fontId="4" fillId="2" borderId="0" xfId="0" applyNumberFormat="1" applyFont="1" applyFill="1" applyBorder="1" applyAlignment="1" applyProtection="1">
      <alignment horizontal="left"/>
      <protection locked="0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4" xfId="0" applyNumberFormat="1" applyBorder="1"/>
    <xf numFmtId="0" fontId="0" fillId="0" borderId="5" xfId="0" applyBorder="1" applyAlignment="1">
      <alignment horizontal="center"/>
    </xf>
    <xf numFmtId="2" fontId="0" fillId="0" borderId="6" xfId="0" applyNumberFormat="1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2" fontId="0" fillId="0" borderId="9" xfId="0" applyNumberFormat="1" applyBorder="1"/>
    <xf numFmtId="0" fontId="0" fillId="0" borderId="9" xfId="0" applyBorder="1"/>
    <xf numFmtId="166" fontId="0" fillId="0" borderId="9" xfId="0" applyNumberFormat="1" applyBorder="1"/>
    <xf numFmtId="1" fontId="0" fillId="0" borderId="9" xfId="0" applyNumberFormat="1" applyBorder="1"/>
    <xf numFmtId="164" fontId="0" fillId="0" borderId="9" xfId="0" applyNumberFormat="1" applyBorder="1"/>
    <xf numFmtId="2" fontId="0" fillId="0" borderId="8" xfId="0" applyNumberFormat="1" applyBorder="1"/>
    <xf numFmtId="166" fontId="0" fillId="0" borderId="8" xfId="0" applyNumberFormat="1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Fill="1" applyBorder="1"/>
    <xf numFmtId="164" fontId="0" fillId="0" borderId="8" xfId="0" applyNumberFormat="1" applyFill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/>
    <xf numFmtId="1" fontId="0" fillId="0" borderId="0" xfId="0" applyNumberFormat="1" applyBorder="1"/>
    <xf numFmtId="168" fontId="0" fillId="0" borderId="0" xfId="0" applyNumberFormat="1" applyBorder="1"/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3" xfId="0" applyBorder="1"/>
    <xf numFmtId="1" fontId="0" fillId="0" borderId="3" xfId="0" applyNumberFormat="1" applyBorder="1"/>
    <xf numFmtId="0" fontId="6" fillId="0" borderId="0" xfId="0" applyFont="1" applyAlignment="1">
      <alignment horizontal="center"/>
    </xf>
    <xf numFmtId="2" fontId="0" fillId="0" borderId="1" xfId="0" applyNumberFormat="1" applyBorder="1"/>
    <xf numFmtId="167" fontId="0" fillId="0" borderId="10" xfId="0" applyNumberFormat="1" applyBorder="1"/>
    <xf numFmtId="0" fontId="0" fillId="0" borderId="10" xfId="0" applyBorder="1"/>
    <xf numFmtId="167" fontId="0" fillId="0" borderId="3" xfId="0" applyNumberFormat="1" applyBorder="1"/>
    <xf numFmtId="0" fontId="0" fillId="0" borderId="4" xfId="0" applyBorder="1"/>
    <xf numFmtId="167" fontId="0" fillId="0" borderId="0" xfId="0" applyNumberFormat="1" applyBorder="1"/>
    <xf numFmtId="0" fontId="0" fillId="0" borderId="11" xfId="0" applyBorder="1"/>
    <xf numFmtId="2" fontId="0" fillId="0" borderId="11" xfId="0" applyNumberFormat="1" applyBorder="1"/>
    <xf numFmtId="2" fontId="0" fillId="0" borderId="7" xfId="0" applyNumberFormat="1" applyBorder="1"/>
    <xf numFmtId="168" fontId="0" fillId="0" borderId="1" xfId="0" applyNumberFormat="1" applyBorder="1" applyAlignment="1">
      <alignment horizontal="right"/>
    </xf>
    <xf numFmtId="168" fontId="0" fillId="0" borderId="10" xfId="0" applyNumberFormat="1" applyBorder="1" applyAlignment="1">
      <alignment horizontal="right"/>
    </xf>
    <xf numFmtId="168" fontId="0" fillId="0" borderId="10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11" xfId="0" applyNumberFormat="1" applyBorder="1"/>
    <xf numFmtId="168" fontId="0" fillId="0" borderId="6" xfId="0" applyNumberFormat="1" applyBorder="1"/>
    <xf numFmtId="166" fontId="0" fillId="0" borderId="7" xfId="0" applyNumberFormat="1" applyBorder="1"/>
    <xf numFmtId="2" fontId="0" fillId="0" borderId="1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11" fontId="0" fillId="0" borderId="1" xfId="0" applyNumberFormat="1" applyBorder="1"/>
    <xf numFmtId="11" fontId="0" fillId="0" borderId="10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11" xfId="0" applyNumberFormat="1" applyBorder="1"/>
    <xf numFmtId="11" fontId="0" fillId="0" borderId="6" xfId="0" applyNumberFormat="1" applyBorder="1"/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2" fontId="0" fillId="0" borderId="13" xfId="0" applyNumberFormat="1" applyBorder="1"/>
    <xf numFmtId="166" fontId="0" fillId="0" borderId="13" xfId="0" applyNumberFormat="1" applyBorder="1"/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4" xfId="0" applyNumberFormat="1" applyBorder="1"/>
    <xf numFmtId="166" fontId="0" fillId="0" borderId="14" xfId="0" applyNumberFormat="1" applyBorder="1"/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3" xfId="0" applyNumberFormat="1" applyBorder="1"/>
    <xf numFmtId="1" fontId="0" fillId="0" borderId="14" xfId="0" applyNumberFormat="1" applyBorder="1"/>
    <xf numFmtId="0" fontId="0" fillId="0" borderId="12" xfId="0" applyBorder="1"/>
    <xf numFmtId="1" fontId="0" fillId="0" borderId="12" xfId="0" applyNumberFormat="1" applyBorder="1"/>
    <xf numFmtId="1" fontId="0" fillId="0" borderId="7" xfId="0" applyNumberFormat="1" applyBorder="1"/>
    <xf numFmtId="164" fontId="2" fillId="0" borderId="0" xfId="0" applyNumberFormat="1" applyFont="1" applyAlignment="1" applyProtection="1">
      <alignment horizontal="center" vertical="center"/>
    </xf>
    <xf numFmtId="164" fontId="3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9</xdr:row>
      <xdr:rowOff>85725</xdr:rowOff>
    </xdr:from>
    <xdr:to>
      <xdr:col>8</xdr:col>
      <xdr:colOff>371474</xdr:colOff>
      <xdr:row>17</xdr:row>
      <xdr:rowOff>114301</xdr:rowOff>
    </xdr:to>
    <xdr:grpSp>
      <xdr:nvGrpSpPr>
        <xdr:cNvPr id="44" name="Group 43"/>
        <xdr:cNvGrpSpPr/>
      </xdr:nvGrpSpPr>
      <xdr:grpSpPr>
        <a:xfrm>
          <a:off x="438150" y="1857375"/>
          <a:ext cx="4400549" cy="1562101"/>
          <a:chOff x="1428750" y="1685925"/>
          <a:chExt cx="4400549" cy="1571626"/>
        </a:xfrm>
      </xdr:grpSpPr>
      <xdr:grpSp>
        <xdr:nvGrpSpPr>
          <xdr:cNvPr id="12" name="Group 11"/>
          <xdr:cNvGrpSpPr/>
        </xdr:nvGrpSpPr>
        <xdr:grpSpPr>
          <a:xfrm>
            <a:off x="1569813" y="1914525"/>
            <a:ext cx="3127087" cy="1209675"/>
            <a:chOff x="657225" y="1847850"/>
            <a:chExt cx="2867025" cy="1209675"/>
          </a:xfrm>
        </xdr:grpSpPr>
        <xdr:sp macro="" textlink="">
          <xdr:nvSpPr>
            <xdr:cNvPr id="2" name="Rectangle 1"/>
            <xdr:cNvSpPr/>
          </xdr:nvSpPr>
          <xdr:spPr>
            <a:xfrm>
              <a:off x="952500" y="1962149"/>
              <a:ext cx="1143000" cy="92392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095500" y="1962150"/>
              <a:ext cx="1143000" cy="4762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2095500" y="2438400"/>
              <a:ext cx="1143000" cy="4476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cxnSp macro="">
          <xdr:nvCxnSpPr>
            <xdr:cNvPr id="6" name="Straight Arrow Connector 5"/>
            <xdr:cNvCxnSpPr/>
          </xdr:nvCxnSpPr>
          <xdr:spPr>
            <a:xfrm>
              <a:off x="657225" y="1847850"/>
              <a:ext cx="295275" cy="133350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" name="Straight Arrow Connector 6"/>
            <xdr:cNvCxnSpPr/>
          </xdr:nvCxnSpPr>
          <xdr:spPr>
            <a:xfrm>
              <a:off x="2095500" y="2447925"/>
              <a:ext cx="276225" cy="16192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9" name="Straight Arrow Connector 8"/>
            <xdr:cNvCxnSpPr/>
          </xdr:nvCxnSpPr>
          <xdr:spPr>
            <a:xfrm>
              <a:off x="3238500" y="2895600"/>
              <a:ext cx="276225" cy="16192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0" name="Straight Arrow Connector 9"/>
            <xdr:cNvCxnSpPr/>
          </xdr:nvCxnSpPr>
          <xdr:spPr>
            <a:xfrm flipV="1">
              <a:off x="3228975" y="1857375"/>
              <a:ext cx="295275" cy="1047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</xdr:grpSp>
      <xdr:sp macro="" textlink="">
        <xdr:nvSpPr>
          <xdr:cNvPr id="13" name="TextBox 12"/>
          <xdr:cNvSpPr txBox="1"/>
        </xdr:nvSpPr>
        <xdr:spPr>
          <a:xfrm>
            <a:off x="4738456" y="1762125"/>
            <a:ext cx="101812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solidFill>
                  <a:schemeClr val="tx1"/>
                </a:solidFill>
              </a:rPr>
              <a:t>50 lp</a:t>
            </a:r>
            <a:r>
              <a:rPr lang="en-IN" sz="1100" b="1" baseline="0">
                <a:solidFill>
                  <a:schemeClr val="tx1"/>
                </a:solidFill>
              </a:rPr>
              <a:t>s</a:t>
            </a:r>
          </a:p>
          <a:p>
            <a:endParaRPr lang="en-IN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738455" y="2962275"/>
            <a:ext cx="1090844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150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200884" y="2628900"/>
            <a:ext cx="1090844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100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428750" y="1685925"/>
            <a:ext cx="101812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300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365551" y="17621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1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821655" y="21717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3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347047" y="22383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6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612212" y="23241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2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374969" y="17335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5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3587764" y="29337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9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2266634" y="29241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4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830927" y="25717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8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4385272" y="21050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7</a:t>
            </a: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4406914" y="25431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10</a:t>
            </a:r>
          </a:p>
        </xdr:txBody>
      </xdr:sp>
      <xdr:cxnSp macro="">
        <xdr:nvCxnSpPr>
          <xdr:cNvPr id="8" name="Straight Arrow Connector 7"/>
          <xdr:cNvCxnSpPr/>
        </xdr:nvCxnSpPr>
        <xdr:spPr>
          <a:xfrm>
            <a:off x="2552700" y="202882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>
            <a:off x="2381250" y="2952750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1771650" y="24288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/>
        </xdr:nvCxnSpPr>
        <xdr:spPr>
          <a:xfrm rot="5400000">
            <a:off x="3019425" y="2247901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/>
        </xdr:nvCxnSpPr>
        <xdr:spPr>
          <a:xfrm rot="5400000">
            <a:off x="4257675" y="2228852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rot="5400000">
            <a:off x="4257675" y="2714628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/>
        </xdr:nvCxnSpPr>
        <xdr:spPr>
          <a:xfrm>
            <a:off x="3619500" y="2952750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>
            <a:off x="3619500" y="25050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>
            <a:off x="3648075" y="202882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/>
          <xdr:cNvCxnSpPr/>
        </xdr:nvCxnSpPr>
        <xdr:spPr>
          <a:xfrm rot="16200000" flipV="1">
            <a:off x="3019425" y="2771777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Arc 36"/>
          <xdr:cNvSpPr/>
        </xdr:nvSpPr>
        <xdr:spPr>
          <a:xfrm>
            <a:off x="2285999" y="2257426"/>
            <a:ext cx="400051" cy="352424"/>
          </a:xfrm>
          <a:prstGeom prst="arc">
            <a:avLst>
              <a:gd name="adj1" fmla="val 16200000"/>
              <a:gd name="adj2" fmla="val 10397410"/>
            </a:avLst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8" name="Arc 37"/>
          <xdr:cNvSpPr/>
        </xdr:nvSpPr>
        <xdr:spPr>
          <a:xfrm>
            <a:off x="3771899" y="2124076"/>
            <a:ext cx="266701" cy="238124"/>
          </a:xfrm>
          <a:prstGeom prst="arc">
            <a:avLst>
              <a:gd name="adj1" fmla="val 16200000"/>
              <a:gd name="adj2" fmla="val 10397410"/>
            </a:avLst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9" name="Arc 38"/>
          <xdr:cNvSpPr/>
        </xdr:nvSpPr>
        <xdr:spPr>
          <a:xfrm>
            <a:off x="3781424" y="2609851"/>
            <a:ext cx="266701" cy="238124"/>
          </a:xfrm>
          <a:prstGeom prst="arc">
            <a:avLst>
              <a:gd name="adj1" fmla="val 16200000"/>
              <a:gd name="adj2" fmla="val 10397410"/>
            </a:avLst>
          </a:prstGeom>
          <a:ln>
            <a:headEnd type="none" w="med" len="med"/>
            <a:tailEnd type="triangl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2376255" y="2305050"/>
            <a:ext cx="34789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rPr>
              <a:t>I</a:t>
            </a:r>
          </a:p>
          <a:p>
            <a:pPr marL="0" indent="0"/>
            <a:endParaRPr lang="en-IN" sz="1100" b="1">
              <a:solidFill>
                <a:srgbClr val="0066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3766905" y="2095500"/>
            <a:ext cx="34789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rPr>
              <a:t>II</a:t>
            </a:r>
          </a:p>
          <a:p>
            <a:pPr marL="0" indent="0"/>
            <a:endParaRPr lang="en-IN" sz="1100" b="1">
              <a:solidFill>
                <a:srgbClr val="0066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3747855" y="2571750"/>
            <a:ext cx="34789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rPr>
              <a:t>III</a:t>
            </a:r>
          </a:p>
          <a:p>
            <a:pPr marL="0" indent="0"/>
            <a:endParaRPr lang="en-IN" sz="1100" b="1">
              <a:solidFill>
                <a:srgbClr val="0066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38100</xdr:rowOff>
    </xdr:from>
    <xdr:to>
      <xdr:col>8</xdr:col>
      <xdr:colOff>327327</xdr:colOff>
      <xdr:row>17</xdr:row>
      <xdr:rowOff>66675</xdr:rowOff>
    </xdr:to>
    <xdr:grpSp>
      <xdr:nvGrpSpPr>
        <xdr:cNvPr id="42" name="Group 41"/>
        <xdr:cNvGrpSpPr/>
      </xdr:nvGrpSpPr>
      <xdr:grpSpPr>
        <a:xfrm>
          <a:off x="476250" y="1809750"/>
          <a:ext cx="4318302" cy="1562100"/>
          <a:chOff x="1209675" y="1514475"/>
          <a:chExt cx="4318302" cy="1552575"/>
        </a:xfrm>
      </xdr:grpSpPr>
      <xdr:sp macro="" textlink="">
        <xdr:nvSpPr>
          <xdr:cNvPr id="2" name="Rectangle 1"/>
          <xdr:cNvSpPr/>
        </xdr:nvSpPr>
        <xdr:spPr>
          <a:xfrm>
            <a:off x="1968072" y="1857374"/>
            <a:ext cx="1246679" cy="41910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3" name="Straight Arrow Connector 2"/>
          <xdr:cNvCxnSpPr/>
        </xdr:nvCxnSpPr>
        <xdr:spPr>
          <a:xfrm>
            <a:off x="1646013" y="1743075"/>
            <a:ext cx="322059" cy="133350"/>
          </a:xfrm>
          <a:prstGeom prst="straightConnector1">
            <a:avLst/>
          </a:prstGeom>
          <a:noFill/>
          <a:ln>
            <a:headEnd type="none" w="med" len="med"/>
            <a:tailEnd type="triangl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cxnSp macro="">
        <xdr:nvCxnSpPr>
          <xdr:cNvPr id="4" name="Straight Arrow Connector 3"/>
          <xdr:cNvCxnSpPr/>
        </xdr:nvCxnSpPr>
        <xdr:spPr>
          <a:xfrm>
            <a:off x="3242230" y="2628900"/>
            <a:ext cx="301281" cy="161925"/>
          </a:xfrm>
          <a:prstGeom prst="straightConnector1">
            <a:avLst/>
          </a:prstGeom>
          <a:noFill/>
          <a:ln>
            <a:headEnd type="none" w="med" len="med"/>
            <a:tailEnd type="triangl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4231966" y="1752600"/>
            <a:ext cx="322059" cy="104775"/>
          </a:xfrm>
          <a:prstGeom prst="straightConnector1">
            <a:avLst/>
          </a:prstGeom>
          <a:noFill/>
          <a:ln>
            <a:headEnd type="none" w="med" len="med"/>
            <a:tailEnd type="triangl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6" name="TextBox 5"/>
          <xdr:cNvSpPr txBox="1"/>
        </xdr:nvSpPr>
        <xdr:spPr>
          <a:xfrm>
            <a:off x="4509856" y="1590675"/>
            <a:ext cx="101812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solidFill>
                  <a:schemeClr val="tx1"/>
                </a:solidFill>
              </a:rPr>
              <a:t>150 lp</a:t>
            </a:r>
            <a:r>
              <a:rPr lang="en-IN" sz="1100" b="1" baseline="0">
                <a:solidFill>
                  <a:schemeClr val="tx1"/>
                </a:solidFill>
              </a:rPr>
              <a:t>s</a:t>
            </a:r>
          </a:p>
          <a:p>
            <a:endParaRPr lang="en-IN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562834" y="2705100"/>
            <a:ext cx="666266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100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209675" y="1514475"/>
            <a:ext cx="101812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300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660701" y="19050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1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935955" y="18859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3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946997" y="22764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6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136087" y="15716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2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679519" y="23336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5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302139" y="19145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9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114234" y="20193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4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6077" y="26384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7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623272" y="15716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8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663964" y="22193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10</a:t>
            </a:r>
          </a:p>
        </xdr:txBody>
      </xdr:sp>
      <xdr:cxnSp macro="">
        <xdr:nvCxnSpPr>
          <xdr:cNvPr id="19" name="Straight Arrow Connector 18"/>
          <xdr:cNvCxnSpPr/>
        </xdr:nvCxnSpPr>
        <xdr:spPr>
          <a:xfrm>
            <a:off x="2438400" y="18573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>
            <a:off x="2419350" y="22764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rot="5400000">
            <a:off x="1847850" y="20097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3095625" y="2076451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 rot="5400000">
            <a:off x="4105275" y="2019361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/>
          <xdr:cNvCxnSpPr/>
        </xdr:nvCxnSpPr>
        <xdr:spPr>
          <a:xfrm rot="5400000">
            <a:off x="1847850" y="2476503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>
            <a:stCxn id="32" idx="0"/>
          </xdr:cNvCxnSpPr>
        </xdr:nvCxnSpPr>
        <xdr:spPr>
          <a:xfrm flipV="1">
            <a:off x="2600323" y="2647950"/>
            <a:ext cx="123827" cy="142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H="1" flipV="1">
            <a:off x="3724275" y="2228850"/>
            <a:ext cx="152400" cy="57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>
            <a:off x="3724275" y="1857375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rot="5400000">
            <a:off x="3105150" y="2447927"/>
            <a:ext cx="2381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9" name="Group 28"/>
          <xdr:cNvGrpSpPr/>
        </xdr:nvGrpSpPr>
        <xdr:grpSpPr>
          <a:xfrm>
            <a:off x="2371724" y="1905000"/>
            <a:ext cx="361951" cy="342900"/>
            <a:chOff x="1123949" y="2038350"/>
            <a:chExt cx="361951" cy="342900"/>
          </a:xfrm>
        </xdr:grpSpPr>
        <xdr:sp macro="" textlink="">
          <xdr:nvSpPr>
            <xdr:cNvPr id="30" name="Arc 29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113800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1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I</a:t>
              </a:r>
            </a:p>
            <a:p>
              <a:pPr marL="0" indent="0"/>
              <a:endPara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" name="Flowchart: Manual Input 31"/>
          <xdr:cNvSpPr/>
        </xdr:nvSpPr>
        <xdr:spPr>
          <a:xfrm flipH="1" flipV="1">
            <a:off x="1971674" y="2276475"/>
            <a:ext cx="1257299" cy="428624"/>
          </a:xfrm>
          <a:prstGeom prst="flowChartManualInpu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Flowchart: Manual Input 32"/>
          <xdr:cNvSpPr/>
        </xdr:nvSpPr>
        <xdr:spPr>
          <a:xfrm flipH="1" flipV="1">
            <a:off x="3219450" y="1857371"/>
            <a:ext cx="1009650" cy="419103"/>
          </a:xfrm>
          <a:prstGeom prst="flowChartManualInpu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4" name="Straight Arrow Connector 33"/>
          <xdr:cNvCxnSpPr/>
        </xdr:nvCxnSpPr>
        <xdr:spPr>
          <a:xfrm flipH="1">
            <a:off x="1790911" y="2676525"/>
            <a:ext cx="190289" cy="209550"/>
          </a:xfrm>
          <a:prstGeom prst="straightConnector1">
            <a:avLst/>
          </a:prstGeom>
          <a:noFill/>
          <a:ln>
            <a:headEnd type="none" w="med" len="med"/>
            <a:tailEnd type="triangl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35" name="TextBox 34"/>
          <xdr:cNvSpPr txBox="1"/>
        </xdr:nvSpPr>
        <xdr:spPr>
          <a:xfrm>
            <a:off x="1372084" y="2809875"/>
            <a:ext cx="666266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50 lps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36" name="Group 35"/>
          <xdr:cNvGrpSpPr/>
        </xdr:nvGrpSpPr>
        <xdr:grpSpPr>
          <a:xfrm>
            <a:off x="2338155" y="2314575"/>
            <a:ext cx="347895" cy="342900"/>
            <a:chOff x="1109430" y="2038350"/>
            <a:chExt cx="347895" cy="342900"/>
          </a:xfrm>
        </xdr:grpSpPr>
        <xdr:sp macro="" textlink="">
          <xdr:nvSpPr>
            <xdr:cNvPr id="37" name="Arc 36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8" name="TextBox 37"/>
            <xdr:cNvSpPr txBox="1"/>
          </xdr:nvSpPr>
          <xdr:spPr>
            <a:xfrm>
              <a:off x="1109430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1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III</a:t>
              </a:r>
            </a:p>
            <a:p>
              <a:pPr marL="0" indent="0"/>
              <a:endPara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39" name="Group 38"/>
          <xdr:cNvGrpSpPr/>
        </xdr:nvGrpSpPr>
        <xdr:grpSpPr>
          <a:xfrm>
            <a:off x="3333749" y="1876425"/>
            <a:ext cx="361951" cy="342900"/>
            <a:chOff x="1123949" y="2038350"/>
            <a:chExt cx="361951" cy="342900"/>
          </a:xfrm>
        </xdr:grpSpPr>
        <xdr:sp macro="" textlink="">
          <xdr:nvSpPr>
            <xdr:cNvPr id="40" name="Arc 39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113800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1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II</a:t>
              </a:r>
            </a:p>
            <a:p>
              <a:pPr marL="0" indent="0"/>
              <a:endParaRPr lang="en-IN" sz="11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101979</xdr:colOff>
      <xdr:row>10</xdr:row>
      <xdr:rowOff>55475</xdr:rowOff>
    </xdr:from>
    <xdr:to>
      <xdr:col>10</xdr:col>
      <xdr:colOff>291359</xdr:colOff>
      <xdr:row>24</xdr:row>
      <xdr:rowOff>150725</xdr:rowOff>
    </xdr:to>
    <xdr:grpSp>
      <xdr:nvGrpSpPr>
        <xdr:cNvPr id="195" name="Group 194"/>
        <xdr:cNvGrpSpPr/>
      </xdr:nvGrpSpPr>
      <xdr:grpSpPr>
        <a:xfrm>
          <a:off x="378204" y="2017625"/>
          <a:ext cx="5428130" cy="2771775"/>
          <a:chOff x="885825" y="1257300"/>
          <a:chExt cx="5429250" cy="2762250"/>
        </a:xfrm>
      </xdr:grpSpPr>
      <xdr:sp macro="" textlink="">
        <xdr:nvSpPr>
          <xdr:cNvPr id="10" name="TextBox 9"/>
          <xdr:cNvSpPr txBox="1"/>
        </xdr:nvSpPr>
        <xdr:spPr>
          <a:xfrm>
            <a:off x="4257676" y="1343025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12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051226" y="13716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1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1850105" y="21050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3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546822" y="28479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6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478987" y="187642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2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336619" y="24003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5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492514" y="20764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9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23659" y="18669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4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278477" y="28003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7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489797" y="25146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rgbClr val="C00000"/>
                </a:solidFill>
              </a:rPr>
              <a:t>8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3511564" y="14478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10</a:t>
            </a:r>
          </a:p>
        </xdr:txBody>
      </xdr:sp>
      <xdr:grpSp>
        <xdr:nvGrpSpPr>
          <xdr:cNvPr id="31" name="Group 30"/>
          <xdr:cNvGrpSpPr/>
        </xdr:nvGrpSpPr>
        <xdr:grpSpPr>
          <a:xfrm>
            <a:off x="2085974" y="1914525"/>
            <a:ext cx="361951" cy="342900"/>
            <a:chOff x="1123949" y="2038350"/>
            <a:chExt cx="361951" cy="342900"/>
          </a:xfrm>
        </xdr:grpSpPr>
        <xdr:sp macro="" textlink="">
          <xdr:nvSpPr>
            <xdr:cNvPr id="42" name="Arc 41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44" name="TextBox 43"/>
            <xdr:cNvSpPr txBox="1"/>
          </xdr:nvSpPr>
          <xdr:spPr>
            <a:xfrm>
              <a:off x="113800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1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49" name="Group 148"/>
          <xdr:cNvGrpSpPr/>
        </xdr:nvGrpSpPr>
        <xdr:grpSpPr>
          <a:xfrm>
            <a:off x="1295400" y="1476375"/>
            <a:ext cx="4429125" cy="2286000"/>
            <a:chOff x="1295400" y="1476375"/>
            <a:chExt cx="4429125" cy="2286000"/>
          </a:xfrm>
        </xdr:grpSpPr>
        <xdr:cxnSp macro="">
          <xdr:nvCxnSpPr>
            <xdr:cNvPr id="5" name="Straight Arrow Connector 4"/>
            <xdr:cNvCxnSpPr/>
          </xdr:nvCxnSpPr>
          <xdr:spPr>
            <a:xfrm>
              <a:off x="1381125" y="1514475"/>
              <a:ext cx="234522" cy="1809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21" name="Straight Arrow Connector 20"/>
            <xdr:cNvCxnSpPr/>
          </xdr:nvCxnSpPr>
          <xdr:spPr>
            <a:xfrm>
              <a:off x="2082220" y="1693893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/>
            <xdr:cNvCxnSpPr/>
          </xdr:nvCxnSpPr>
          <xdr:spPr>
            <a:xfrm rot="5400000">
              <a:off x="2697776" y="2008311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/>
            <xdr:cNvCxnSpPr/>
          </xdr:nvCxnSpPr>
          <xdr:spPr>
            <a:xfrm rot="5400000">
              <a:off x="1497440" y="2028097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/>
            <xdr:cNvCxnSpPr/>
          </xdr:nvCxnSpPr>
          <xdr:spPr>
            <a:xfrm flipH="1">
              <a:off x="1295400" y="2371725"/>
              <a:ext cx="314326" cy="57150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4" name="Straight Arrow Connector 53"/>
            <xdr:cNvCxnSpPr/>
          </xdr:nvCxnSpPr>
          <xdr:spPr>
            <a:xfrm flipH="1">
              <a:off x="3987373" y="1504950"/>
              <a:ext cx="213152" cy="190500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8" name="Straight Arrow Connector 57"/>
            <xdr:cNvCxnSpPr/>
          </xdr:nvCxnSpPr>
          <xdr:spPr>
            <a:xfrm flipH="1">
              <a:off x="1390650" y="2733675"/>
              <a:ext cx="238126" cy="1809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60" name="Straight Arrow Connector 59"/>
            <xdr:cNvCxnSpPr/>
          </xdr:nvCxnSpPr>
          <xdr:spPr>
            <a:xfrm flipH="1">
              <a:off x="1895475" y="3086100"/>
              <a:ext cx="66676" cy="27622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62" name="Straight Arrow Connector 61"/>
            <xdr:cNvCxnSpPr/>
          </xdr:nvCxnSpPr>
          <xdr:spPr>
            <a:xfrm flipH="1">
              <a:off x="2743200" y="3086100"/>
              <a:ext cx="66676" cy="27622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63" name="Straight Arrow Connector 62"/>
            <xdr:cNvCxnSpPr/>
          </xdr:nvCxnSpPr>
          <xdr:spPr>
            <a:xfrm flipV="1">
              <a:off x="2809875" y="1476375"/>
              <a:ext cx="209550" cy="209551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69" name="Straight Arrow Connector 68"/>
            <xdr:cNvCxnSpPr/>
          </xdr:nvCxnSpPr>
          <xdr:spPr>
            <a:xfrm flipV="1">
              <a:off x="2809875" y="2152650"/>
              <a:ext cx="209550" cy="209551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0" name="Straight Arrow Connector 69"/>
            <xdr:cNvCxnSpPr/>
          </xdr:nvCxnSpPr>
          <xdr:spPr>
            <a:xfrm flipV="1">
              <a:off x="4010025" y="2152650"/>
              <a:ext cx="209550" cy="209551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1" name="Straight Arrow Connector 70"/>
            <xdr:cNvCxnSpPr/>
          </xdr:nvCxnSpPr>
          <xdr:spPr>
            <a:xfrm flipV="1">
              <a:off x="4800600" y="2162175"/>
              <a:ext cx="209550" cy="209551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2" name="Straight Arrow Connector 71"/>
            <xdr:cNvCxnSpPr/>
          </xdr:nvCxnSpPr>
          <xdr:spPr>
            <a:xfrm flipV="1">
              <a:off x="5514975" y="2867025"/>
              <a:ext cx="209550" cy="209551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3" name="Straight Arrow Connector 72"/>
            <xdr:cNvCxnSpPr/>
          </xdr:nvCxnSpPr>
          <xdr:spPr>
            <a:xfrm flipH="1">
              <a:off x="3867150" y="3095625"/>
              <a:ext cx="171452" cy="2190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6" name="Straight Arrow Connector 75"/>
            <xdr:cNvCxnSpPr/>
          </xdr:nvCxnSpPr>
          <xdr:spPr>
            <a:xfrm flipH="1" flipV="1">
              <a:off x="4524375" y="2914650"/>
              <a:ext cx="266700" cy="171450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79" name="Straight Arrow Connector 78"/>
            <xdr:cNvCxnSpPr/>
          </xdr:nvCxnSpPr>
          <xdr:spPr>
            <a:xfrm flipH="1">
              <a:off x="3886200" y="3543300"/>
              <a:ext cx="171452" cy="2190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80" name="Straight Arrow Connector 79"/>
            <xdr:cNvCxnSpPr/>
          </xdr:nvCxnSpPr>
          <xdr:spPr>
            <a:xfrm flipH="1">
              <a:off x="4619625" y="3543300"/>
              <a:ext cx="171452" cy="219075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81" name="Straight Arrow Connector 80"/>
            <xdr:cNvCxnSpPr/>
          </xdr:nvCxnSpPr>
          <xdr:spPr>
            <a:xfrm>
              <a:off x="5514975" y="3552827"/>
              <a:ext cx="190500" cy="171448"/>
            </a:xfrm>
            <a:prstGeom prst="straightConnector1">
              <a:avLst/>
            </a:prstGeom>
            <a:noFill/>
            <a:ln>
              <a:headEnd type="none" w="med" len="med"/>
              <a:tailEnd type="triangl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83" name="Straight Arrow Connector 82"/>
            <xdr:cNvCxnSpPr/>
          </xdr:nvCxnSpPr>
          <xdr:spPr>
            <a:xfrm>
              <a:off x="2113818" y="3084634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Arrow Connector 83"/>
            <xdr:cNvCxnSpPr/>
          </xdr:nvCxnSpPr>
          <xdr:spPr>
            <a:xfrm flipH="1">
              <a:off x="2165108" y="2373923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" name="Straight Arrow Connector 129"/>
            <xdr:cNvCxnSpPr/>
          </xdr:nvCxnSpPr>
          <xdr:spPr>
            <a:xfrm rot="5400000">
              <a:off x="2694026" y="2676988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Straight Arrow Connector 130"/>
            <xdr:cNvCxnSpPr/>
          </xdr:nvCxnSpPr>
          <xdr:spPr>
            <a:xfrm rot="5400000">
              <a:off x="1499830" y="2522207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2" name="Straight Arrow Connector 131"/>
            <xdr:cNvCxnSpPr/>
          </xdr:nvCxnSpPr>
          <xdr:spPr>
            <a:xfrm rot="5400000">
              <a:off x="3890609" y="1974519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Straight Arrow Connector 132"/>
            <xdr:cNvCxnSpPr/>
          </xdr:nvCxnSpPr>
          <xdr:spPr>
            <a:xfrm rot="5400000">
              <a:off x="4669275" y="2665082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" name="Straight Arrow Connector 133"/>
            <xdr:cNvCxnSpPr/>
          </xdr:nvCxnSpPr>
          <xdr:spPr>
            <a:xfrm rot="5400000">
              <a:off x="3934660" y="3284207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Straight Arrow Connector 134"/>
            <xdr:cNvCxnSpPr/>
          </xdr:nvCxnSpPr>
          <xdr:spPr>
            <a:xfrm rot="5400000">
              <a:off x="4669275" y="3284207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Straight Arrow Connector 135"/>
            <xdr:cNvCxnSpPr/>
          </xdr:nvCxnSpPr>
          <xdr:spPr>
            <a:xfrm rot="5400000">
              <a:off x="5407463" y="3284206"/>
              <a:ext cx="2381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Straight Arrow Connector 136"/>
            <xdr:cNvCxnSpPr/>
          </xdr:nvCxnSpPr>
          <xdr:spPr>
            <a:xfrm>
              <a:off x="3366906" y="2366635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Straight Arrow Connector 137"/>
            <xdr:cNvCxnSpPr/>
          </xdr:nvCxnSpPr>
          <xdr:spPr>
            <a:xfrm>
              <a:off x="4274162" y="2366634"/>
              <a:ext cx="23757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Straight Arrow Connector 138"/>
            <xdr:cNvCxnSpPr/>
          </xdr:nvCxnSpPr>
          <xdr:spPr>
            <a:xfrm>
              <a:off x="4967105" y="3080975"/>
              <a:ext cx="232813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Straight Arrow Connector 139"/>
            <xdr:cNvCxnSpPr/>
          </xdr:nvCxnSpPr>
          <xdr:spPr>
            <a:xfrm flipH="1">
              <a:off x="3343094" y="1693894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Straight Arrow Connector 140"/>
            <xdr:cNvCxnSpPr/>
          </xdr:nvCxnSpPr>
          <xdr:spPr>
            <a:xfrm flipH="1">
              <a:off x="4238442" y="3086928"/>
              <a:ext cx="23757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Straight Arrow Connector 141"/>
            <xdr:cNvCxnSpPr/>
          </xdr:nvCxnSpPr>
          <xdr:spPr>
            <a:xfrm>
              <a:off x="3253796" y="3086929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3" name="Straight Arrow Connector 142"/>
            <xdr:cNvCxnSpPr/>
          </xdr:nvCxnSpPr>
          <xdr:spPr>
            <a:xfrm>
              <a:off x="4256303" y="3551272"/>
              <a:ext cx="23757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4" name="Straight Arrow Connector 143"/>
            <xdr:cNvCxnSpPr/>
          </xdr:nvCxnSpPr>
          <xdr:spPr>
            <a:xfrm>
              <a:off x="5071880" y="3551272"/>
              <a:ext cx="23519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Straight Arrow Connector 145"/>
            <xdr:cNvCxnSpPr/>
          </xdr:nvCxnSpPr>
          <xdr:spPr>
            <a:xfrm>
              <a:off x="5012531" y="2595562"/>
              <a:ext cx="196453" cy="19645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8" name="Straight Arrow Connector 147"/>
            <xdr:cNvCxnSpPr/>
          </xdr:nvCxnSpPr>
          <xdr:spPr>
            <a:xfrm>
              <a:off x="1708547" y="2839641"/>
              <a:ext cx="95250" cy="8929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2" name="Group 51"/>
            <xdr:cNvGrpSpPr/>
          </xdr:nvGrpSpPr>
          <xdr:grpSpPr>
            <a:xfrm>
              <a:off x="1615648" y="1695449"/>
              <a:ext cx="3910823" cy="1860003"/>
              <a:chOff x="1615648" y="1695449"/>
              <a:chExt cx="3910823" cy="1860003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1615648" y="1695449"/>
                <a:ext cx="1194228" cy="67627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5" name="Rectangle 44"/>
              <xdr:cNvSpPr/>
            </xdr:nvSpPr>
            <xdr:spPr>
              <a:xfrm>
                <a:off x="2815800" y="1695449"/>
                <a:ext cx="1194228" cy="67627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" name="Freeform 1"/>
              <xdr:cNvSpPr/>
            </xdr:nvSpPr>
            <xdr:spPr>
              <a:xfrm>
                <a:off x="1619250" y="2362199"/>
                <a:ext cx="1190625" cy="720287"/>
              </a:xfrm>
              <a:custGeom>
                <a:avLst/>
                <a:gdLst>
                  <a:gd name="connsiteX0" fmla="*/ 0 w 1190625"/>
                  <a:gd name="connsiteY0" fmla="*/ 0 h 704850"/>
                  <a:gd name="connsiteX1" fmla="*/ 0 w 1190625"/>
                  <a:gd name="connsiteY1" fmla="*/ 371475 h 704850"/>
                  <a:gd name="connsiteX2" fmla="*/ 333375 w 1190625"/>
                  <a:gd name="connsiteY2" fmla="*/ 704850 h 704850"/>
                  <a:gd name="connsiteX3" fmla="*/ 1190625 w 1190625"/>
                  <a:gd name="connsiteY3" fmla="*/ 704850 h 704850"/>
                  <a:gd name="connsiteX4" fmla="*/ 1190625 w 1190625"/>
                  <a:gd name="connsiteY4" fmla="*/ 0 h 7048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190625" h="704850">
                    <a:moveTo>
                      <a:pt x="0" y="0"/>
                    </a:moveTo>
                    <a:lnTo>
                      <a:pt x="0" y="371475"/>
                    </a:lnTo>
                    <a:lnTo>
                      <a:pt x="333375" y="704850"/>
                    </a:lnTo>
                    <a:lnTo>
                      <a:pt x="1190625" y="704850"/>
                    </a:lnTo>
                    <a:lnTo>
                      <a:pt x="1190625" y="0"/>
                    </a:lnTo>
                  </a:path>
                </a:pathLst>
              </a:cu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6" name="Rectangle 45"/>
              <xdr:cNvSpPr/>
            </xdr:nvSpPr>
            <xdr:spPr>
              <a:xfrm>
                <a:off x="2815799" y="2371722"/>
                <a:ext cx="1982831" cy="717333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7" name="Rectangle 46"/>
              <xdr:cNvSpPr/>
            </xdr:nvSpPr>
            <xdr:spPr>
              <a:xfrm>
                <a:off x="4054693" y="3088070"/>
                <a:ext cx="732769" cy="467382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48" name="Rectangle 47"/>
              <xdr:cNvSpPr/>
            </xdr:nvSpPr>
            <xdr:spPr>
              <a:xfrm>
                <a:off x="4789103" y="3085114"/>
                <a:ext cx="737368" cy="467382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cxnSp macro="">
            <xdr:nvCxnSpPr>
              <xdr:cNvPr id="50" name="Straight Connector 49"/>
              <xdr:cNvCxnSpPr/>
            </xdr:nvCxnSpPr>
            <xdr:spPr>
              <a:xfrm>
                <a:off x="4791075" y="2381250"/>
                <a:ext cx="730469" cy="701237"/>
              </a:xfrm>
              <a:prstGeom prst="line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</xdr:cxnSp>
        </xdr:grpSp>
      </xdr:grpSp>
      <xdr:grpSp>
        <xdr:nvGrpSpPr>
          <xdr:cNvPr id="150" name="Group 149"/>
          <xdr:cNvGrpSpPr/>
        </xdr:nvGrpSpPr>
        <xdr:grpSpPr>
          <a:xfrm>
            <a:off x="3276599" y="1885950"/>
            <a:ext cx="361951" cy="342900"/>
            <a:chOff x="1123949" y="2038350"/>
            <a:chExt cx="361951" cy="342900"/>
          </a:xfrm>
        </xdr:grpSpPr>
        <xdr:sp macro="" textlink="">
          <xdr:nvSpPr>
            <xdr:cNvPr id="151" name="Arc 150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52" name="TextBox 151"/>
            <xdr:cNvSpPr txBox="1"/>
          </xdr:nvSpPr>
          <xdr:spPr>
            <a:xfrm>
              <a:off x="113800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2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3" name="Group 152"/>
          <xdr:cNvGrpSpPr/>
        </xdr:nvGrpSpPr>
        <xdr:grpSpPr>
          <a:xfrm>
            <a:off x="2023830" y="2562225"/>
            <a:ext cx="347895" cy="342900"/>
            <a:chOff x="1118955" y="2038350"/>
            <a:chExt cx="347895" cy="342900"/>
          </a:xfrm>
        </xdr:grpSpPr>
        <xdr:sp macro="" textlink="">
          <xdr:nvSpPr>
            <xdr:cNvPr id="154" name="Arc 153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55" name="TextBox 154"/>
            <xdr:cNvSpPr txBox="1"/>
          </xdr:nvSpPr>
          <xdr:spPr>
            <a:xfrm>
              <a:off x="111895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3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6" name="Group 155"/>
          <xdr:cNvGrpSpPr/>
        </xdr:nvGrpSpPr>
        <xdr:grpSpPr>
          <a:xfrm>
            <a:off x="3271605" y="2552700"/>
            <a:ext cx="347895" cy="342900"/>
            <a:chOff x="1118955" y="2038350"/>
            <a:chExt cx="347895" cy="342900"/>
          </a:xfrm>
        </xdr:grpSpPr>
        <xdr:sp macro="" textlink="">
          <xdr:nvSpPr>
            <xdr:cNvPr id="157" name="Arc 156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111895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4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9" name="Group 158"/>
          <xdr:cNvGrpSpPr/>
        </xdr:nvGrpSpPr>
        <xdr:grpSpPr>
          <a:xfrm>
            <a:off x="4843230" y="2724150"/>
            <a:ext cx="347895" cy="342900"/>
            <a:chOff x="1118955" y="2038350"/>
            <a:chExt cx="347895" cy="342900"/>
          </a:xfrm>
        </xdr:grpSpPr>
        <xdr:sp macro="" textlink="">
          <xdr:nvSpPr>
            <xdr:cNvPr id="160" name="Arc 159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61" name="TextBox 160"/>
            <xdr:cNvSpPr txBox="1"/>
          </xdr:nvSpPr>
          <xdr:spPr>
            <a:xfrm>
              <a:off x="111895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5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2" name="Group 161"/>
          <xdr:cNvGrpSpPr/>
        </xdr:nvGrpSpPr>
        <xdr:grpSpPr>
          <a:xfrm>
            <a:off x="4252680" y="3171825"/>
            <a:ext cx="347895" cy="342900"/>
            <a:chOff x="1118955" y="2038350"/>
            <a:chExt cx="347895" cy="342900"/>
          </a:xfrm>
        </xdr:grpSpPr>
        <xdr:sp macro="" textlink="">
          <xdr:nvSpPr>
            <xdr:cNvPr id="163" name="Arc 162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64" name="TextBox 163"/>
            <xdr:cNvSpPr txBox="1"/>
          </xdr:nvSpPr>
          <xdr:spPr>
            <a:xfrm>
              <a:off x="111895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6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5" name="Group 164"/>
          <xdr:cNvGrpSpPr/>
        </xdr:nvGrpSpPr>
        <xdr:grpSpPr>
          <a:xfrm>
            <a:off x="4881330" y="3162300"/>
            <a:ext cx="347895" cy="342900"/>
            <a:chOff x="1118955" y="2038350"/>
            <a:chExt cx="347895" cy="342900"/>
          </a:xfrm>
        </xdr:grpSpPr>
        <xdr:sp macro="" textlink="">
          <xdr:nvSpPr>
            <xdr:cNvPr id="166" name="Arc 165"/>
            <xdr:cNvSpPr/>
          </xdr:nvSpPr>
          <xdr:spPr>
            <a:xfrm>
              <a:off x="1123949" y="2057401"/>
              <a:ext cx="266701" cy="238124"/>
            </a:xfrm>
            <a:prstGeom prst="arc">
              <a:avLst>
                <a:gd name="adj1" fmla="val 16200000"/>
                <a:gd name="adj2" fmla="val 10397410"/>
              </a:avLst>
            </a:prstGeom>
            <a:ln>
              <a:headEnd type="none" w="med" len="med"/>
              <a:tailEnd type="triangle" w="med" len="med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67" name="TextBox 166"/>
            <xdr:cNvSpPr txBox="1"/>
          </xdr:nvSpPr>
          <xdr:spPr>
            <a:xfrm>
              <a:off x="1118955" y="2038350"/>
              <a:ext cx="347895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r>
                <a:rPr lang="en-IN" sz="1000" b="1">
                  <a:solidFill>
                    <a:srgbClr val="006600"/>
                  </a:solidFill>
                  <a:latin typeface="+mn-lt"/>
                  <a:ea typeface="+mn-ea"/>
                  <a:cs typeface="+mn-cs"/>
                </a:rPr>
                <a:t>7</a:t>
              </a:r>
            </a:p>
            <a:p>
              <a:pPr marL="0" indent="0"/>
              <a:endParaRPr lang="en-IN" sz="1000" b="1">
                <a:solidFill>
                  <a:srgbClr val="0066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8" name="TextBox 167"/>
          <xdr:cNvSpPr txBox="1"/>
        </xdr:nvSpPr>
        <xdr:spPr>
          <a:xfrm>
            <a:off x="4016389" y="17335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11</a:t>
            </a:r>
          </a:p>
        </xdr:txBody>
      </xdr:sp>
      <xdr:sp macro="" textlink="">
        <xdr:nvSpPr>
          <xdr:cNvPr id="169" name="TextBox 168"/>
          <xdr:cNvSpPr txBox="1"/>
        </xdr:nvSpPr>
        <xdr:spPr>
          <a:xfrm>
            <a:off x="4302139" y="20955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12</a:t>
            </a:r>
          </a:p>
        </xdr:txBody>
      </xdr:sp>
      <xdr:sp macro="" textlink="">
        <xdr:nvSpPr>
          <xdr:cNvPr id="170" name="TextBox 169"/>
          <xdr:cNvSpPr txBox="1"/>
        </xdr:nvSpPr>
        <xdr:spPr>
          <a:xfrm>
            <a:off x="5083189" y="24288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13</a:t>
            </a:r>
          </a:p>
        </xdr:txBody>
      </xdr:sp>
      <xdr:sp macro="" textlink="">
        <xdr:nvSpPr>
          <xdr:cNvPr id="171" name="TextBox 170"/>
          <xdr:cNvSpPr txBox="1"/>
        </xdr:nvSpPr>
        <xdr:spPr>
          <a:xfrm>
            <a:off x="4445014" y="25050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14</a:t>
            </a:r>
          </a:p>
        </xdr:txBody>
      </xdr:sp>
      <xdr:sp macro="" textlink="">
        <xdr:nvSpPr>
          <xdr:cNvPr id="172" name="TextBox 171"/>
          <xdr:cNvSpPr txBox="1"/>
        </xdr:nvSpPr>
        <xdr:spPr>
          <a:xfrm>
            <a:off x="5111764" y="30670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15</a:t>
            </a:r>
          </a:p>
        </xdr:txBody>
      </xdr:sp>
      <xdr:sp macro="" textlink="">
        <xdr:nvSpPr>
          <xdr:cNvPr id="173" name="TextBox 172"/>
          <xdr:cNvSpPr txBox="1"/>
        </xdr:nvSpPr>
        <xdr:spPr>
          <a:xfrm>
            <a:off x="5530864" y="31908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16</a:t>
            </a:r>
          </a:p>
        </xdr:txBody>
      </xdr:sp>
      <xdr:sp macro="" textlink="">
        <xdr:nvSpPr>
          <xdr:cNvPr id="174" name="TextBox 173"/>
          <xdr:cNvSpPr txBox="1"/>
        </xdr:nvSpPr>
        <xdr:spPr>
          <a:xfrm>
            <a:off x="4930789" y="3533776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17</a:t>
            </a:r>
          </a:p>
        </xdr:txBody>
      </xdr:sp>
      <xdr:sp macro="" textlink="">
        <xdr:nvSpPr>
          <xdr:cNvPr id="175" name="TextBox 174"/>
          <xdr:cNvSpPr txBox="1"/>
        </xdr:nvSpPr>
        <xdr:spPr>
          <a:xfrm>
            <a:off x="4483114" y="30670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18</a:t>
            </a:r>
          </a:p>
        </xdr:txBody>
      </xdr:sp>
      <xdr:sp macro="" textlink="">
        <xdr:nvSpPr>
          <xdr:cNvPr id="176" name="TextBox 175"/>
          <xdr:cNvSpPr txBox="1"/>
        </xdr:nvSpPr>
        <xdr:spPr>
          <a:xfrm>
            <a:off x="4206889" y="35433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19</a:t>
            </a:r>
          </a:p>
        </xdr:txBody>
      </xdr:sp>
      <xdr:sp macro="" textlink="">
        <xdr:nvSpPr>
          <xdr:cNvPr id="177" name="TextBox 176"/>
          <xdr:cNvSpPr txBox="1"/>
        </xdr:nvSpPr>
        <xdr:spPr>
          <a:xfrm>
            <a:off x="3749689" y="32766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20</a:t>
            </a:r>
          </a:p>
        </xdr:txBody>
      </xdr:sp>
      <xdr:sp macro="" textlink="">
        <xdr:nvSpPr>
          <xdr:cNvPr id="178" name="TextBox 177"/>
          <xdr:cNvSpPr txBox="1"/>
        </xdr:nvSpPr>
        <xdr:spPr>
          <a:xfrm>
            <a:off x="4006864" y="283845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21</a:t>
            </a:r>
          </a:p>
        </xdr:txBody>
      </xdr:sp>
      <xdr:sp macro="" textlink="">
        <xdr:nvSpPr>
          <xdr:cNvPr id="179" name="TextBox 178"/>
          <xdr:cNvSpPr txBox="1"/>
        </xdr:nvSpPr>
        <xdr:spPr>
          <a:xfrm>
            <a:off x="3359164" y="2819401"/>
            <a:ext cx="41556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>
                <a:solidFill>
                  <a:srgbClr val="C00000"/>
                </a:solidFill>
              </a:rPr>
              <a:t>22</a:t>
            </a:r>
          </a:p>
        </xdr:txBody>
      </xdr:sp>
      <xdr:sp macro="" textlink="">
        <xdr:nvSpPr>
          <xdr:cNvPr id="180" name="TextBox 179"/>
          <xdr:cNvSpPr txBox="1"/>
        </xdr:nvSpPr>
        <xdr:spPr>
          <a:xfrm>
            <a:off x="1057276" y="1285875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2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1" name="TextBox 180"/>
          <xdr:cNvSpPr txBox="1"/>
        </xdr:nvSpPr>
        <xdr:spPr>
          <a:xfrm>
            <a:off x="2876551" y="12573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2" name="TextBox 181"/>
          <xdr:cNvSpPr txBox="1"/>
        </xdr:nvSpPr>
        <xdr:spPr>
          <a:xfrm>
            <a:off x="2781300" y="192405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3" name="TextBox 182"/>
          <xdr:cNvSpPr txBox="1"/>
        </xdr:nvSpPr>
        <xdr:spPr>
          <a:xfrm>
            <a:off x="4124325" y="192405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4" name="TextBox 183"/>
          <xdr:cNvSpPr txBox="1"/>
        </xdr:nvSpPr>
        <xdr:spPr>
          <a:xfrm>
            <a:off x="4933950" y="1952625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5" name="TextBox 184"/>
          <xdr:cNvSpPr txBox="1"/>
        </xdr:nvSpPr>
        <xdr:spPr>
          <a:xfrm>
            <a:off x="5629275" y="26670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6" name="TextBox 185"/>
          <xdr:cNvSpPr txBox="1"/>
        </xdr:nvSpPr>
        <xdr:spPr>
          <a:xfrm>
            <a:off x="5514975" y="367665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7" name="TextBox 186"/>
          <xdr:cNvSpPr txBox="1"/>
        </xdr:nvSpPr>
        <xdr:spPr>
          <a:xfrm>
            <a:off x="4362450" y="36957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8" name="TextBox 187"/>
          <xdr:cNvSpPr txBox="1"/>
        </xdr:nvSpPr>
        <xdr:spPr>
          <a:xfrm>
            <a:off x="3600450" y="36957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TextBox 188"/>
          <xdr:cNvSpPr txBox="1"/>
        </xdr:nvSpPr>
        <xdr:spPr>
          <a:xfrm>
            <a:off x="3362325" y="318135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4095750" y="26670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1" name="TextBox 190"/>
          <xdr:cNvSpPr txBox="1"/>
        </xdr:nvSpPr>
        <xdr:spPr>
          <a:xfrm>
            <a:off x="2486025" y="3305175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TextBox 191"/>
          <xdr:cNvSpPr txBox="1"/>
        </xdr:nvSpPr>
        <xdr:spPr>
          <a:xfrm>
            <a:off x="1590675" y="331470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3" name="TextBox 192"/>
          <xdr:cNvSpPr txBox="1"/>
        </xdr:nvSpPr>
        <xdr:spPr>
          <a:xfrm>
            <a:off x="1047750" y="2876550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4" name="TextBox 193"/>
          <xdr:cNvSpPr txBox="1"/>
        </xdr:nvSpPr>
        <xdr:spPr>
          <a:xfrm>
            <a:off x="885825" y="2409825"/>
            <a:ext cx="6858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 m</a:t>
            </a:r>
            <a:r>
              <a:rPr lang="en-IN" sz="1100" b="1" baseline="300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en-IN" sz="11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/s</a:t>
            </a:r>
          </a:p>
          <a:p>
            <a:pPr marL="0" indent="0"/>
            <a:endParaRPr lang="en-IN" sz="11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guid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heguid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he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"/>
  <sheetViews>
    <sheetView showGridLines="0" tabSelected="1" zoomScaleNormal="100" workbookViewId="0"/>
  </sheetViews>
  <sheetFormatPr defaultRowHeight="15" x14ac:dyDescent="0.25"/>
  <cols>
    <col min="1" max="1" width="4.140625" style="16" customWidth="1"/>
    <col min="2" max="3" width="8.28515625" customWidth="1"/>
    <col min="4" max="4" width="9.7109375" customWidth="1"/>
    <col min="5" max="5" width="9.5703125" customWidth="1"/>
    <col min="6" max="6" width="8.7109375" customWidth="1"/>
    <col min="9" max="9" width="8" customWidth="1"/>
    <col min="10" max="10" width="7.7109375" customWidth="1"/>
    <col min="23" max="23" width="9.42578125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3"/>
    </row>
    <row r="2" spans="1:12" ht="18.75" x14ac:dyDescent="0.25">
      <c r="A2" s="4"/>
      <c r="B2" s="109" t="s">
        <v>2</v>
      </c>
      <c r="C2" s="109"/>
      <c r="D2" s="109"/>
      <c r="E2" s="109"/>
      <c r="F2" s="109"/>
      <c r="G2" s="109"/>
      <c r="H2" s="109"/>
      <c r="I2" s="109"/>
      <c r="J2" s="109"/>
      <c r="K2" s="109"/>
    </row>
    <row r="3" spans="1:12" x14ac:dyDescent="0.25">
      <c r="A3" s="5"/>
      <c r="B3" s="110" t="s">
        <v>40</v>
      </c>
      <c r="C3" s="6"/>
      <c r="D3" s="6"/>
      <c r="E3" s="6"/>
      <c r="J3" s="7" t="s">
        <v>0</v>
      </c>
      <c r="K3" s="8" t="s">
        <v>42</v>
      </c>
      <c r="L3" s="9"/>
    </row>
    <row r="4" spans="1:12" x14ac:dyDescent="0.25">
      <c r="A4" s="5"/>
      <c r="B4" s="10" t="s">
        <v>41</v>
      </c>
      <c r="C4" s="6"/>
      <c r="D4" s="6"/>
      <c r="E4" s="6"/>
      <c r="J4" s="7" t="s">
        <v>1</v>
      </c>
      <c r="K4" s="11" t="s">
        <v>43</v>
      </c>
      <c r="L4" s="11"/>
    </row>
    <row r="6" spans="1:12" x14ac:dyDescent="0.25">
      <c r="B6" t="s">
        <v>24</v>
      </c>
    </row>
    <row r="7" spans="1:12" x14ac:dyDescent="0.25">
      <c r="B7" t="s">
        <v>26</v>
      </c>
    </row>
    <row r="8" spans="1:12" ht="15.75" thickBot="1" x14ac:dyDescent="0.3">
      <c r="B8" t="s">
        <v>27</v>
      </c>
    </row>
    <row r="9" spans="1:12" x14ac:dyDescent="0.25">
      <c r="I9" s="101" t="s">
        <v>3</v>
      </c>
      <c r="J9" s="101" t="s">
        <v>6</v>
      </c>
      <c r="K9" s="101" t="s">
        <v>8</v>
      </c>
      <c r="L9" s="101" t="s">
        <v>14</v>
      </c>
    </row>
    <row r="10" spans="1:12" ht="15.75" thickBot="1" x14ac:dyDescent="0.3">
      <c r="I10" s="102"/>
      <c r="J10" s="102" t="s">
        <v>7</v>
      </c>
      <c r="K10" s="102" t="s">
        <v>7</v>
      </c>
      <c r="L10" s="102"/>
    </row>
    <row r="11" spans="1:12" x14ac:dyDescent="0.25">
      <c r="I11" s="93">
        <v>1</v>
      </c>
      <c r="J11" s="94">
        <v>300</v>
      </c>
      <c r="K11" s="95">
        <v>0.3</v>
      </c>
      <c r="L11" s="96">
        <v>8.7000000000000001E-4</v>
      </c>
    </row>
    <row r="12" spans="1:12" x14ac:dyDescent="0.25">
      <c r="I12" s="93">
        <v>2</v>
      </c>
      <c r="J12" s="94">
        <v>250</v>
      </c>
      <c r="K12" s="95">
        <v>0.25</v>
      </c>
      <c r="L12" s="96">
        <v>1.0399999999999999E-3</v>
      </c>
    </row>
    <row r="13" spans="1:12" x14ac:dyDescent="0.25">
      <c r="I13" s="93">
        <v>5</v>
      </c>
      <c r="J13" s="94">
        <v>350</v>
      </c>
      <c r="K13" s="95">
        <v>0.2</v>
      </c>
      <c r="L13" s="96">
        <v>1.2999999999999999E-3</v>
      </c>
    </row>
    <row r="14" spans="1:12" x14ac:dyDescent="0.25">
      <c r="I14" s="93">
        <v>3</v>
      </c>
      <c r="J14" s="94">
        <v>125</v>
      </c>
      <c r="K14" s="95">
        <v>0.2</v>
      </c>
      <c r="L14" s="96">
        <v>1.2999999999999999E-3</v>
      </c>
    </row>
    <row r="15" spans="1:12" x14ac:dyDescent="0.25">
      <c r="I15" s="93">
        <v>6</v>
      </c>
      <c r="J15" s="94">
        <v>350</v>
      </c>
      <c r="K15" s="95">
        <v>0.2</v>
      </c>
      <c r="L15" s="96">
        <v>1.2999999999999999E-3</v>
      </c>
    </row>
    <row r="16" spans="1:12" x14ac:dyDescent="0.25">
      <c r="I16" s="93">
        <v>7</v>
      </c>
      <c r="J16" s="94">
        <v>125</v>
      </c>
      <c r="K16" s="95">
        <v>0.2</v>
      </c>
      <c r="L16" s="96">
        <v>1.2999999999999999E-3</v>
      </c>
    </row>
    <row r="17" spans="1:12" x14ac:dyDescent="0.25">
      <c r="I17" s="93">
        <v>4</v>
      </c>
      <c r="J17" s="94">
        <v>300</v>
      </c>
      <c r="K17" s="95">
        <v>0.2</v>
      </c>
      <c r="L17" s="96">
        <v>1.2999999999999999E-3</v>
      </c>
    </row>
    <row r="18" spans="1:12" x14ac:dyDescent="0.25">
      <c r="I18" s="93">
        <v>8</v>
      </c>
      <c r="J18" s="94">
        <v>125</v>
      </c>
      <c r="K18" s="95">
        <v>0.15</v>
      </c>
      <c r="L18" s="96">
        <v>1.73E-3</v>
      </c>
    </row>
    <row r="19" spans="1:12" x14ac:dyDescent="0.25">
      <c r="I19" s="93">
        <v>9</v>
      </c>
      <c r="J19" s="94">
        <v>350</v>
      </c>
      <c r="K19" s="95">
        <v>0.2</v>
      </c>
      <c r="L19" s="96">
        <v>1.2999999999999999E-3</v>
      </c>
    </row>
    <row r="20" spans="1:12" ht="15.75" thickBot="1" x14ac:dyDescent="0.3">
      <c r="I20" s="97">
        <v>10</v>
      </c>
      <c r="J20" s="98">
        <v>125</v>
      </c>
      <c r="K20" s="99">
        <v>0.15</v>
      </c>
      <c r="L20" s="100">
        <v>1.73E-3</v>
      </c>
    </row>
    <row r="21" spans="1:12" x14ac:dyDescent="0.25">
      <c r="A21" s="15" t="s">
        <v>25</v>
      </c>
    </row>
    <row r="22" spans="1:12" x14ac:dyDescent="0.25">
      <c r="A22" s="16">
        <v>1</v>
      </c>
      <c r="B22" s="18" t="s">
        <v>3</v>
      </c>
      <c r="C22" s="26" t="s">
        <v>4</v>
      </c>
      <c r="D22" s="26" t="s">
        <v>6</v>
      </c>
      <c r="E22" s="26" t="s">
        <v>8</v>
      </c>
      <c r="F22" s="26" t="s">
        <v>14</v>
      </c>
      <c r="G22" s="26" t="s">
        <v>17</v>
      </c>
      <c r="H22" s="26" t="s">
        <v>15</v>
      </c>
      <c r="I22" s="26" t="s">
        <v>9</v>
      </c>
      <c r="J22" s="26"/>
      <c r="K22" s="26" t="s">
        <v>23</v>
      </c>
      <c r="L22" s="19"/>
    </row>
    <row r="23" spans="1:12" x14ac:dyDescent="0.25">
      <c r="B23" s="24"/>
      <c r="C23" s="27" t="s">
        <v>5</v>
      </c>
      <c r="D23" s="27" t="s">
        <v>7</v>
      </c>
      <c r="E23" s="27" t="s">
        <v>7</v>
      </c>
      <c r="F23" s="27"/>
      <c r="G23" s="27" t="s">
        <v>18</v>
      </c>
      <c r="H23" s="27" t="s">
        <v>16</v>
      </c>
      <c r="I23" s="27" t="s">
        <v>10</v>
      </c>
      <c r="J23" s="28" t="s">
        <v>11</v>
      </c>
      <c r="K23" s="28" t="s">
        <v>12</v>
      </c>
      <c r="L23" s="25" t="s">
        <v>13</v>
      </c>
    </row>
    <row r="24" spans="1:12" x14ac:dyDescent="0.25">
      <c r="B24" s="20">
        <v>1</v>
      </c>
      <c r="C24" s="29">
        <v>0.2</v>
      </c>
      <c r="D24" s="26">
        <f>J11</f>
        <v>300</v>
      </c>
      <c r="E24" s="65">
        <f>K11</f>
        <v>0.3</v>
      </c>
      <c r="F24" s="75">
        <f>L11</f>
        <v>8.7000000000000001E-4</v>
      </c>
      <c r="G24" s="29">
        <f>C24/(PI()*E24^2/4)</f>
        <v>2.8294212105225838</v>
      </c>
      <c r="H24" s="32">
        <f>E24*G24*1000/0.001</f>
        <v>848826.36315677501</v>
      </c>
      <c r="I24" s="33">
        <f>IF(H24&lt;=2100,64/H24,0.25*(LOG10(F24/3.7+5.74/H24^0.9))^-2)</f>
        <v>1.9480876635114525E-2</v>
      </c>
      <c r="J24" s="32">
        <f>8*I24*D24/(9.81*PI()^2*E24^5)</f>
        <v>198.7214335646585</v>
      </c>
      <c r="K24" s="29">
        <f>J24*C24^2</f>
        <v>7.9488573425863418</v>
      </c>
      <c r="L24" s="21">
        <f>2*K24/C24</f>
        <v>79.488573425863407</v>
      </c>
    </row>
    <row r="25" spans="1:12" x14ac:dyDescent="0.25">
      <c r="B25" s="20">
        <v>2</v>
      </c>
      <c r="C25" s="29">
        <v>0.1</v>
      </c>
      <c r="D25" s="30">
        <f t="shared" ref="D25:F25" si="0">J12</f>
        <v>250</v>
      </c>
      <c r="E25" s="29">
        <f t="shared" si="0"/>
        <v>0.25</v>
      </c>
      <c r="F25" s="31">
        <f t="shared" si="0"/>
        <v>1.0399999999999999E-3</v>
      </c>
      <c r="G25" s="29">
        <f t="shared" ref="G25:G33" si="1">C25/(PI()*E25^2/4)</f>
        <v>2.0371832715762603</v>
      </c>
      <c r="H25" s="32">
        <f t="shared" ref="H25:H33" si="2">E25*G25*1000/0.001</f>
        <v>509295.81789406505</v>
      </c>
      <c r="I25" s="33">
        <f t="shared" ref="I25:I33" si="3">IF(H25&lt;=2100,64/H25,0.25*(LOG10(F25/3.7+5.74/H25^0.9))^-2)</f>
        <v>2.051625504379492E-2</v>
      </c>
      <c r="J25" s="32">
        <f t="shared" ref="J25:J33" si="4">8*I25*D25/(9.81*PI()^2*E25^5)</f>
        <v>433.96958100388849</v>
      </c>
      <c r="K25" s="29">
        <f t="shared" ref="K25:K33" si="5">J25*C25^2</f>
        <v>4.3396958100388856</v>
      </c>
      <c r="L25" s="21">
        <f t="shared" ref="L25:L33" si="6">2*K25/C25</f>
        <v>86.793916200777701</v>
      </c>
    </row>
    <row r="26" spans="1:12" x14ac:dyDescent="0.25">
      <c r="B26" s="20">
        <v>5</v>
      </c>
      <c r="C26" s="29">
        <v>0.08</v>
      </c>
      <c r="D26" s="30">
        <f t="shared" ref="D26:F26" si="7">J13</f>
        <v>350</v>
      </c>
      <c r="E26" s="29">
        <f t="shared" si="7"/>
        <v>0.2</v>
      </c>
      <c r="F26" s="31">
        <f t="shared" si="7"/>
        <v>1.2999999999999999E-3</v>
      </c>
      <c r="G26" s="29">
        <f t="shared" si="1"/>
        <v>2.5464790894703251</v>
      </c>
      <c r="H26" s="32">
        <f t="shared" si="2"/>
        <v>509295.81789406505</v>
      </c>
      <c r="I26" s="33">
        <f t="shared" si="3"/>
        <v>2.15592280242718E-2</v>
      </c>
      <c r="J26" s="32">
        <f t="shared" si="4"/>
        <v>1948.374810504579</v>
      </c>
      <c r="K26" s="29">
        <f t="shared" si="5"/>
        <v>12.469598787229307</v>
      </c>
      <c r="L26" s="21">
        <f t="shared" si="6"/>
        <v>311.73996968073266</v>
      </c>
    </row>
    <row r="27" spans="1:12" x14ac:dyDescent="0.25">
      <c r="B27" s="20">
        <v>3</v>
      </c>
      <c r="C27" s="29">
        <v>0.12</v>
      </c>
      <c r="D27" s="30">
        <f t="shared" ref="D27:F27" si="8">J14</f>
        <v>125</v>
      </c>
      <c r="E27" s="29">
        <f t="shared" si="8"/>
        <v>0.2</v>
      </c>
      <c r="F27" s="31">
        <f t="shared" si="8"/>
        <v>1.2999999999999999E-3</v>
      </c>
      <c r="G27" s="29">
        <f t="shared" si="1"/>
        <v>3.8197186342054876</v>
      </c>
      <c r="H27" s="32">
        <f t="shared" si="2"/>
        <v>763943.72684109758</v>
      </c>
      <c r="I27" s="33">
        <f t="shared" si="3"/>
        <v>2.1378089708779781E-2</v>
      </c>
      <c r="J27" s="32">
        <f t="shared" si="4"/>
        <v>690.00170530888317</v>
      </c>
      <c r="K27" s="29">
        <f t="shared" si="5"/>
        <v>9.9360245564479168</v>
      </c>
      <c r="L27" s="21">
        <f t="shared" si="6"/>
        <v>165.60040927413195</v>
      </c>
    </row>
    <row r="28" spans="1:12" x14ac:dyDescent="0.25">
      <c r="B28" s="20">
        <v>6</v>
      </c>
      <c r="C28" s="29">
        <v>7.0000000000000007E-2</v>
      </c>
      <c r="D28" s="30">
        <f t="shared" ref="D28:F28" si="9">J15</f>
        <v>350</v>
      </c>
      <c r="E28" s="29">
        <f t="shared" si="9"/>
        <v>0.2</v>
      </c>
      <c r="F28" s="31">
        <f t="shared" si="9"/>
        <v>1.2999999999999999E-3</v>
      </c>
      <c r="G28" s="29">
        <f t="shared" si="1"/>
        <v>2.228169203286535</v>
      </c>
      <c r="H28" s="32">
        <f t="shared" si="2"/>
        <v>445633.84065730701</v>
      </c>
      <c r="I28" s="33">
        <f t="shared" si="3"/>
        <v>2.1633801683404712E-2</v>
      </c>
      <c r="J28" s="32">
        <f>8*I28*D28/(9.81*PI()^2*E28^5)</f>
        <v>1955.1142651278217</v>
      </c>
      <c r="K28" s="29">
        <f>J28*C28^2</f>
        <v>9.5800598991263275</v>
      </c>
      <c r="L28" s="21">
        <f t="shared" si="6"/>
        <v>273.71599711789503</v>
      </c>
    </row>
    <row r="29" spans="1:12" x14ac:dyDescent="0.25">
      <c r="B29" s="20">
        <v>7</v>
      </c>
      <c r="C29" s="29">
        <v>0.03</v>
      </c>
      <c r="D29" s="30">
        <f t="shared" ref="D29:F29" si="10">J16</f>
        <v>125</v>
      </c>
      <c r="E29" s="29">
        <f t="shared" si="10"/>
        <v>0.2</v>
      </c>
      <c r="F29" s="31">
        <f t="shared" si="10"/>
        <v>1.2999999999999999E-3</v>
      </c>
      <c r="G29" s="29">
        <f t="shared" si="1"/>
        <v>0.95492965855137191</v>
      </c>
      <c r="H29" s="32">
        <f t="shared" si="2"/>
        <v>190985.9317102744</v>
      </c>
      <c r="I29" s="33">
        <f t="shared" si="3"/>
        <v>2.2354731386871048E-2</v>
      </c>
      <c r="J29" s="32">
        <f t="shared" si="4"/>
        <v>721.5239054932124</v>
      </c>
      <c r="K29" s="29">
        <f t="shared" si="5"/>
        <v>0.64937151494389111</v>
      </c>
      <c r="L29" s="21">
        <f t="shared" si="6"/>
        <v>43.29143432959274</v>
      </c>
    </row>
    <row r="30" spans="1:12" x14ac:dyDescent="0.25">
      <c r="B30" s="20">
        <v>4</v>
      </c>
      <c r="C30" s="29">
        <v>0.1</v>
      </c>
      <c r="D30" s="30">
        <f t="shared" ref="D30:F30" si="11">J17</f>
        <v>300</v>
      </c>
      <c r="E30" s="29">
        <f t="shared" si="11"/>
        <v>0.2</v>
      </c>
      <c r="F30" s="31">
        <f t="shared" si="11"/>
        <v>1.2999999999999999E-3</v>
      </c>
      <c r="G30" s="29">
        <f t="shared" si="1"/>
        <v>3.1830988618379066</v>
      </c>
      <c r="H30" s="32">
        <f t="shared" si="2"/>
        <v>636619.77236758138</v>
      </c>
      <c r="I30" s="33">
        <f t="shared" si="3"/>
        <v>2.1451881841005285E-2</v>
      </c>
      <c r="J30" s="32">
        <f t="shared" si="4"/>
        <v>1661.7202289650045</v>
      </c>
      <c r="K30" s="29">
        <f t="shared" si="5"/>
        <v>16.617202289650049</v>
      </c>
      <c r="L30" s="21">
        <f t="shared" si="6"/>
        <v>332.34404579300093</v>
      </c>
    </row>
    <row r="31" spans="1:12" x14ac:dyDescent="0.25">
      <c r="B31" s="20">
        <v>8</v>
      </c>
      <c r="C31" s="29">
        <v>0.05</v>
      </c>
      <c r="D31" s="30">
        <f t="shared" ref="D31:F31" si="12">J18</f>
        <v>125</v>
      </c>
      <c r="E31" s="29">
        <f t="shared" si="12"/>
        <v>0.15</v>
      </c>
      <c r="F31" s="31">
        <f t="shared" si="12"/>
        <v>1.73E-3</v>
      </c>
      <c r="G31" s="29">
        <f t="shared" si="1"/>
        <v>2.8294212105225838</v>
      </c>
      <c r="H31" s="32">
        <f t="shared" si="2"/>
        <v>424413.18157838751</v>
      </c>
      <c r="I31" s="33">
        <f t="shared" si="3"/>
        <v>2.3145547325186137E-2</v>
      </c>
      <c r="J31" s="32">
        <f t="shared" si="4"/>
        <v>3148.055693283638</v>
      </c>
      <c r="K31" s="29">
        <f t="shared" si="5"/>
        <v>7.8701392332090965</v>
      </c>
      <c r="L31" s="21">
        <f t="shared" si="6"/>
        <v>314.80556932836384</v>
      </c>
    </row>
    <row r="32" spans="1:12" x14ac:dyDescent="0.25">
      <c r="B32" s="20">
        <v>9</v>
      </c>
      <c r="C32" s="29">
        <v>0.05</v>
      </c>
      <c r="D32" s="30">
        <f t="shared" ref="D32:F32" si="13">J19</f>
        <v>350</v>
      </c>
      <c r="E32" s="29">
        <f t="shared" si="13"/>
        <v>0.2</v>
      </c>
      <c r="F32" s="31">
        <f t="shared" si="13"/>
        <v>1.2999999999999999E-3</v>
      </c>
      <c r="G32" s="29">
        <f t="shared" si="1"/>
        <v>1.5915494309189533</v>
      </c>
      <c r="H32" s="32">
        <f t="shared" si="2"/>
        <v>318309.88618379069</v>
      </c>
      <c r="I32" s="33">
        <f t="shared" si="3"/>
        <v>2.1862818837177399E-2</v>
      </c>
      <c r="J32" s="32">
        <f t="shared" si="4"/>
        <v>1975.8112610073497</v>
      </c>
      <c r="K32" s="29">
        <f t="shared" si="5"/>
        <v>4.939528152518375</v>
      </c>
      <c r="L32" s="21">
        <f t="shared" si="6"/>
        <v>197.58112610073499</v>
      </c>
    </row>
    <row r="33" spans="1:12" x14ac:dyDescent="0.25">
      <c r="B33" s="22">
        <v>10</v>
      </c>
      <c r="C33" s="34">
        <v>0.1</v>
      </c>
      <c r="D33" s="27">
        <f t="shared" ref="D33:F33" si="14">J20</f>
        <v>125</v>
      </c>
      <c r="E33" s="34">
        <f t="shared" si="14"/>
        <v>0.15</v>
      </c>
      <c r="F33" s="35">
        <f t="shared" si="14"/>
        <v>1.73E-3</v>
      </c>
      <c r="G33" s="34">
        <f t="shared" si="1"/>
        <v>5.6588424210451675</v>
      </c>
      <c r="H33" s="36">
        <f t="shared" si="2"/>
        <v>848826.36315677501</v>
      </c>
      <c r="I33" s="37">
        <f t="shared" si="3"/>
        <v>2.2870431658519298E-2</v>
      </c>
      <c r="J33" s="36">
        <f t="shared" si="4"/>
        <v>3110.6368572287379</v>
      </c>
      <c r="K33" s="34">
        <f t="shared" si="5"/>
        <v>31.106368572287384</v>
      </c>
      <c r="L33" s="23">
        <f t="shared" si="6"/>
        <v>622.1273714457476</v>
      </c>
    </row>
    <row r="35" spans="1:12" x14ac:dyDescent="0.25">
      <c r="B35" t="s">
        <v>19</v>
      </c>
      <c r="G35" t="s">
        <v>20</v>
      </c>
      <c r="K35" s="17" t="s">
        <v>21</v>
      </c>
      <c r="L35" t="s">
        <v>22</v>
      </c>
    </row>
    <row r="36" spans="1:12" x14ac:dyDescent="0.25">
      <c r="C36" s="57">
        <f>L24+L27+L31+L30+L25</f>
        <v>979.03251402213789</v>
      </c>
      <c r="D36" s="76">
        <f>-1*L27</f>
        <v>-165.60040927413195</v>
      </c>
      <c r="E36" s="77">
        <f>-1*L31</f>
        <v>-314.80556932836384</v>
      </c>
      <c r="G36" s="80">
        <f t="array" ref="G36:I38">MINVERSE(C36:E38)</f>
        <v>1.1915231934877658E-3</v>
      </c>
      <c r="H36" s="81">
        <v>3.6460308889093505E-4</v>
      </c>
      <c r="I36" s="82">
        <v>3.3722887152078367E-4</v>
      </c>
      <c r="K36" s="89">
        <f>-1*(K24+K27-K31-K30-K25)</f>
        <v>10.942155433863771</v>
      </c>
      <c r="L36" s="75">
        <f t="array" ref="L36:L38">MMULT(G36:I38,K36:K38)</f>
        <v>6.6131453928124778E-4</v>
      </c>
    </row>
    <row r="37" spans="1:12" x14ac:dyDescent="0.25">
      <c r="C37" s="78">
        <f>-1*L27</f>
        <v>-165.60040927413195</v>
      </c>
      <c r="D37" s="44">
        <f>L26+L29+L27+L28</f>
        <v>794.34781040235248</v>
      </c>
      <c r="E37" s="21">
        <f>-1*L28</f>
        <v>-273.71599711789503</v>
      </c>
      <c r="G37" s="83">
        <v>3.6460308889093505E-4</v>
      </c>
      <c r="H37" s="84">
        <v>1.4608295187751028E-3</v>
      </c>
      <c r="I37" s="85">
        <v>3.6544560756560129E-4</v>
      </c>
      <c r="K37" s="90">
        <f>-1*(K26+K29-K28-K27)</f>
        <v>6.3971141534010467</v>
      </c>
      <c r="L37" s="31">
        <v>-2.6050186587579533E-3</v>
      </c>
    </row>
    <row r="38" spans="1:12" x14ac:dyDescent="0.25">
      <c r="C38" s="79">
        <f>-1*L31</f>
        <v>-314.80556932836384</v>
      </c>
      <c r="D38" s="64">
        <f>-1*L28</f>
        <v>-273.71599711789503</v>
      </c>
      <c r="E38" s="23">
        <f>L28+L33+L32+L31</f>
        <v>1408.2300639927414</v>
      </c>
      <c r="G38" s="86">
        <v>3.3722887152078367E-4</v>
      </c>
      <c r="H38" s="87">
        <v>3.6544560756560123E-4</v>
      </c>
      <c r="I38" s="88">
        <v>8.5652896256193886E-4</v>
      </c>
      <c r="K38" s="91">
        <f>-1*(K28+K33-K32+K31)</f>
        <v>-43.61703955210443</v>
      </c>
      <c r="L38" s="35">
        <v>-3.1331449640164016E-2</v>
      </c>
    </row>
    <row r="39" spans="1:12" x14ac:dyDescent="0.25">
      <c r="A39" s="15" t="s">
        <v>25</v>
      </c>
    </row>
    <row r="40" spans="1:12" x14ac:dyDescent="0.25">
      <c r="A40" s="16">
        <f>A22+1</f>
        <v>2</v>
      </c>
      <c r="B40" s="18" t="s">
        <v>3</v>
      </c>
      <c r="C40" s="26" t="s">
        <v>4</v>
      </c>
      <c r="D40" s="26" t="s">
        <v>6</v>
      </c>
      <c r="E40" s="26" t="s">
        <v>8</v>
      </c>
      <c r="F40" s="26" t="s">
        <v>14</v>
      </c>
      <c r="G40" s="26" t="s">
        <v>17</v>
      </c>
      <c r="H40" s="26" t="s">
        <v>15</v>
      </c>
      <c r="I40" s="26" t="s">
        <v>9</v>
      </c>
      <c r="J40" s="26"/>
      <c r="K40" s="26"/>
      <c r="L40" s="19"/>
    </row>
    <row r="41" spans="1:12" x14ac:dyDescent="0.25">
      <c r="B41" s="24"/>
      <c r="C41" s="27" t="s">
        <v>5</v>
      </c>
      <c r="D41" s="27" t="s">
        <v>7</v>
      </c>
      <c r="E41" s="27" t="s">
        <v>7</v>
      </c>
      <c r="F41" s="27"/>
      <c r="G41" s="27" t="s">
        <v>18</v>
      </c>
      <c r="H41" s="27" t="s">
        <v>16</v>
      </c>
      <c r="I41" s="27" t="s">
        <v>10</v>
      </c>
      <c r="J41" s="28" t="s">
        <v>11</v>
      </c>
      <c r="K41" s="28" t="s">
        <v>12</v>
      </c>
      <c r="L41" s="25" t="s">
        <v>13</v>
      </c>
    </row>
    <row r="42" spans="1:12" x14ac:dyDescent="0.25">
      <c r="B42" s="20">
        <v>1</v>
      </c>
      <c r="C42" s="38">
        <f>C24+L36</f>
        <v>0.20066131453928127</v>
      </c>
      <c r="D42" s="30">
        <v>300</v>
      </c>
      <c r="E42" s="29">
        <v>0.3</v>
      </c>
      <c r="F42" s="31">
        <v>8.7000000000000001E-4</v>
      </c>
      <c r="G42" s="29">
        <f>ABS(C42/(PI()*E42^2/4))</f>
        <v>2.8387768974439305</v>
      </c>
      <c r="H42" s="32">
        <f>E42*G42*1000/0.001</f>
        <v>851633.06923317921</v>
      </c>
      <c r="I42" s="33">
        <f>IF(H42&lt;=2100,64/H42,0.25*(LOG10(F42/3.7+5.74/H42^0.9))^-2)</f>
        <v>1.94794580238359E-2</v>
      </c>
      <c r="J42" s="32">
        <f t="shared" ref="J42:J51" si="15">8*I42*D42/(9.81*PI()^2*E42^5)</f>
        <v>198.70696252866563</v>
      </c>
      <c r="K42" s="29">
        <f>J42*C42^2*C42/ABS(C42)</f>
        <v>8.0009285243882236</v>
      </c>
      <c r="L42" s="21">
        <f>ABS(2*K42/C42)</f>
        <v>79.745600618219513</v>
      </c>
    </row>
    <row r="43" spans="1:12" x14ac:dyDescent="0.25">
      <c r="B43" s="20">
        <v>2</v>
      </c>
      <c r="C43" s="38">
        <f>C25-L36</f>
        <v>9.9338685460718751E-2</v>
      </c>
      <c r="D43" s="30">
        <v>250</v>
      </c>
      <c r="E43" s="29">
        <v>0.25</v>
      </c>
      <c r="F43" s="31">
        <v>1.0399999999999999E-3</v>
      </c>
      <c r="G43" s="29">
        <f>ABS(C43/(PI()*E43^2/4))</f>
        <v>2.023711082409521</v>
      </c>
      <c r="H43" s="32">
        <f t="shared" ref="H43:H51" si="16">E43*G43*1000/0.001</f>
        <v>505927.77060238022</v>
      </c>
      <c r="I43" s="33">
        <f t="shared" ref="I43:I51" si="17">IF(H43&lt;=2100,64/H43,0.25*(LOG10(F43/3.7+5.74/H43^0.9))^-2)</f>
        <v>2.0520224035136859E-2</v>
      </c>
      <c r="J43" s="32">
        <f t="shared" si="15"/>
        <v>434.05353499578382</v>
      </c>
      <c r="K43" s="29">
        <f>J43*C43^2*C43/ABS(C43)</f>
        <v>4.2833159948900628</v>
      </c>
      <c r="L43" s="21">
        <f>ABS(2*K43/C43)</f>
        <v>86.236615172118491</v>
      </c>
    </row>
    <row r="44" spans="1:12" x14ac:dyDescent="0.25">
      <c r="B44" s="20">
        <v>5</v>
      </c>
      <c r="C44" s="38">
        <f>C26+L37</f>
        <v>7.739498134124205E-2</v>
      </c>
      <c r="D44" s="30">
        <v>350</v>
      </c>
      <c r="E44" s="29">
        <v>0.2</v>
      </c>
      <c r="F44" s="31">
        <v>1.2999999999999999E-3</v>
      </c>
      <c r="G44" s="29">
        <f t="shared" ref="G44:G51" si="18">ABS(C44/(PI()*E44^2/4))</f>
        <v>2.4635587701927357</v>
      </c>
      <c r="H44" s="32">
        <f t="shared" si="16"/>
        <v>492711.75403854717</v>
      </c>
      <c r="I44" s="33">
        <f t="shared" si="17"/>
        <v>2.1576945568432947E-2</v>
      </c>
      <c r="J44" s="32">
        <f t="shared" si="15"/>
        <v>1949.9760003388678</v>
      </c>
      <c r="K44" s="29">
        <f t="shared" ref="K44:K51" si="19">J44*C44^2*C44/ABS(C44)</f>
        <v>11.680323359216379</v>
      </c>
      <c r="L44" s="21">
        <f t="shared" ref="L44:L51" si="20">ABS(2*K44/C44)</f>
        <v>301.83671232419294</v>
      </c>
    </row>
    <row r="45" spans="1:12" x14ac:dyDescent="0.25">
      <c r="B45" s="20">
        <v>3</v>
      </c>
      <c r="C45" s="38">
        <f>C27+L36-L37</f>
        <v>0.1232663331980392</v>
      </c>
      <c r="D45" s="30">
        <v>125</v>
      </c>
      <c r="E45" s="29">
        <v>0.2</v>
      </c>
      <c r="F45" s="31">
        <v>1.2999999999999999E-3</v>
      </c>
      <c r="G45" s="29">
        <f t="shared" si="18"/>
        <v>3.9236892490561073</v>
      </c>
      <c r="H45" s="32">
        <f t="shared" si="16"/>
        <v>784737.84981122147</v>
      </c>
      <c r="I45" s="33">
        <f t="shared" si="17"/>
        <v>2.1368160376612433E-2</v>
      </c>
      <c r="J45" s="32">
        <f t="shared" si="15"/>
        <v>689.68122503111385</v>
      </c>
      <c r="K45" s="29">
        <f t="shared" si="19"/>
        <v>10.479422686458252</v>
      </c>
      <c r="L45" s="21">
        <f t="shared" si="20"/>
        <v>170.0289513702343</v>
      </c>
    </row>
    <row r="46" spans="1:12" x14ac:dyDescent="0.25">
      <c r="B46" s="20">
        <v>6</v>
      </c>
      <c r="C46" s="38">
        <f>C28-L37+L38</f>
        <v>4.1273569018593942E-2</v>
      </c>
      <c r="D46" s="30">
        <v>350</v>
      </c>
      <c r="E46" s="29">
        <v>0.2</v>
      </c>
      <c r="F46" s="31">
        <v>1.2999999999999999E-3</v>
      </c>
      <c r="G46" s="29">
        <f t="shared" si="18"/>
        <v>1.3137785056707465</v>
      </c>
      <c r="H46" s="32">
        <f>E46*G46*1000/0.001</f>
        <v>262755.70113414933</v>
      </c>
      <c r="I46" s="33">
        <f t="shared" si="17"/>
        <v>2.2024475573915792E-2</v>
      </c>
      <c r="J46" s="32">
        <f t="shared" si="15"/>
        <v>1990.4206854939248</v>
      </c>
      <c r="K46" s="29">
        <f t="shared" si="19"/>
        <v>3.3906965649637946</v>
      </c>
      <c r="L46" s="21">
        <f t="shared" si="20"/>
        <v>164.30353107754115</v>
      </c>
    </row>
    <row r="47" spans="1:12" x14ac:dyDescent="0.25">
      <c r="B47" s="20">
        <v>7</v>
      </c>
      <c r="C47" s="38">
        <f>C29+L37</f>
        <v>2.7394981341242047E-2</v>
      </c>
      <c r="D47" s="30">
        <v>125</v>
      </c>
      <c r="E47" s="29">
        <v>0.2</v>
      </c>
      <c r="F47" s="31">
        <v>1.2999999999999999E-3</v>
      </c>
      <c r="G47" s="29">
        <f t="shared" si="18"/>
        <v>0.87200933927378244</v>
      </c>
      <c r="H47" s="32">
        <f t="shared" si="16"/>
        <v>174401.86785475651</v>
      </c>
      <c r="I47" s="33">
        <f t="shared" si="17"/>
        <v>2.2464867020517774E-2</v>
      </c>
      <c r="J47" s="32">
        <f t="shared" si="15"/>
        <v>725.07865599088223</v>
      </c>
      <c r="K47" s="29">
        <f t="shared" si="19"/>
        <v>0.54416065708960348</v>
      </c>
      <c r="L47" s="21">
        <f t="shared" si="20"/>
        <v>39.727032503606154</v>
      </c>
    </row>
    <row r="48" spans="1:12" x14ac:dyDescent="0.25">
      <c r="B48" s="20">
        <v>4</v>
      </c>
      <c r="C48" s="38">
        <f>C30-L36</f>
        <v>9.9338685460718751E-2</v>
      </c>
      <c r="D48" s="30">
        <v>300</v>
      </c>
      <c r="E48" s="29">
        <v>0.2</v>
      </c>
      <c r="F48" s="31">
        <v>1.2999999999999999E-3</v>
      </c>
      <c r="G48" s="29">
        <f t="shared" si="18"/>
        <v>3.1620485662648767</v>
      </c>
      <c r="H48" s="32">
        <f t="shared" si="16"/>
        <v>632409.71325297537</v>
      </c>
      <c r="I48" s="33">
        <f t="shared" si="17"/>
        <v>2.1454789694709347E-2</v>
      </c>
      <c r="J48" s="32">
        <f t="shared" si="15"/>
        <v>1661.9454791019728</v>
      </c>
      <c r="K48" s="29">
        <f t="shared" si="19"/>
        <v>16.400367879371966</v>
      </c>
      <c r="L48" s="21">
        <f t="shared" si="20"/>
        <v>330.19095840274883</v>
      </c>
    </row>
    <row r="49" spans="1:12" x14ac:dyDescent="0.25">
      <c r="B49" s="20">
        <v>8</v>
      </c>
      <c r="C49" s="38">
        <f>C31-L36+L38</f>
        <v>1.8007235820554739E-2</v>
      </c>
      <c r="D49" s="30">
        <v>125</v>
      </c>
      <c r="E49" s="29">
        <v>0.15</v>
      </c>
      <c r="F49" s="31">
        <v>1.73E-3</v>
      </c>
      <c r="G49" s="29">
        <f t="shared" si="18"/>
        <v>1.0190010994711924</v>
      </c>
      <c r="H49" s="32">
        <f t="shared" si="16"/>
        <v>152850.16492067886</v>
      </c>
      <c r="I49" s="33">
        <f t="shared" si="17"/>
        <v>2.3991336617611846E-2</v>
      </c>
      <c r="J49" s="32">
        <f t="shared" si="15"/>
        <v>3263.0925839620345</v>
      </c>
      <c r="K49" s="29">
        <f t="shared" si="19"/>
        <v>1.0580921695358387</v>
      </c>
      <c r="L49" s="21">
        <f t="shared" si="20"/>
        <v>117.51855532741534</v>
      </c>
    </row>
    <row r="50" spans="1:12" x14ac:dyDescent="0.25">
      <c r="B50" s="20">
        <v>9</v>
      </c>
      <c r="C50" s="38">
        <f>C32-L38</f>
        <v>8.1331449640164019E-2</v>
      </c>
      <c r="D50" s="30">
        <v>350</v>
      </c>
      <c r="E50" s="29">
        <v>0.2</v>
      </c>
      <c r="F50" s="31">
        <v>1.2999999999999999E-3</v>
      </c>
      <c r="G50" s="29">
        <f t="shared" si="18"/>
        <v>2.5888604478123312</v>
      </c>
      <c r="H50" s="32">
        <f t="shared" si="16"/>
        <v>517772.08956246625</v>
      </c>
      <c r="I50" s="33">
        <f t="shared" si="17"/>
        <v>2.1550576461020161E-2</v>
      </c>
      <c r="J50" s="32">
        <f t="shared" si="15"/>
        <v>1947.5929416968461</v>
      </c>
      <c r="K50" s="29">
        <f t="shared" si="19"/>
        <v>12.882946945534295</v>
      </c>
      <c r="L50" s="21">
        <f t="shared" si="20"/>
        <v>316.80111451431185</v>
      </c>
    </row>
    <row r="51" spans="1:12" x14ac:dyDescent="0.25">
      <c r="B51" s="22">
        <v>10</v>
      </c>
      <c r="C51" s="39">
        <f>C33+L38</f>
        <v>6.8668550359835989E-2</v>
      </c>
      <c r="D51" s="27">
        <v>125</v>
      </c>
      <c r="E51" s="34">
        <v>0.15</v>
      </c>
      <c r="F51" s="35">
        <v>1.73E-3</v>
      </c>
      <c r="G51" s="34">
        <f t="shared" si="18"/>
        <v>3.885845057679163</v>
      </c>
      <c r="H51" s="36">
        <f t="shared" si="16"/>
        <v>582876.75865187438</v>
      </c>
      <c r="I51" s="37">
        <f t="shared" si="17"/>
        <v>2.2999245627093112E-2</v>
      </c>
      <c r="J51" s="36">
        <f t="shared" si="15"/>
        <v>3128.1570109518684</v>
      </c>
      <c r="K51" s="34">
        <f t="shared" si="19"/>
        <v>14.750417125756771</v>
      </c>
      <c r="L51" s="23">
        <f t="shared" si="20"/>
        <v>429.61201448004476</v>
      </c>
    </row>
    <row r="53" spans="1:12" x14ac:dyDescent="0.25">
      <c r="B53" t="s">
        <v>19</v>
      </c>
      <c r="G53" t="s">
        <v>20</v>
      </c>
      <c r="K53" s="17" t="s">
        <v>21</v>
      </c>
      <c r="L53" t="s">
        <v>22</v>
      </c>
    </row>
    <row r="54" spans="1:12" x14ac:dyDescent="0.25">
      <c r="C54" s="57">
        <f>L42+L45+L49+L48+L43</f>
        <v>783.7206808907365</v>
      </c>
      <c r="D54" s="76">
        <f>-1*L45</f>
        <v>-170.0289513702343</v>
      </c>
      <c r="E54" s="77">
        <f>-1*L49</f>
        <v>-117.51855532741534</v>
      </c>
      <c r="G54" s="80">
        <f t="array" ref="G54:I56">MINVERSE(C54:E56)</f>
        <v>1.397788906019215E-3</v>
      </c>
      <c r="H54" s="81">
        <v>4.0624376209672192E-4</v>
      </c>
      <c r="I54" s="82">
        <v>2.2466981680749852E-4</v>
      </c>
      <c r="K54" s="89">
        <f>-1*(K42+K45-K49-K48-K43)</f>
        <v>3.261424832951394</v>
      </c>
      <c r="L54" s="75">
        <f t="array" ref="L54:L56">MMULT(G54:I56,K54:K56)</f>
        <v>3.8082397649881576E-3</v>
      </c>
    </row>
    <row r="55" spans="1:12" x14ac:dyDescent="0.25">
      <c r="C55" s="78">
        <f>-1*L45</f>
        <v>-170.0289513702343</v>
      </c>
      <c r="D55" s="44">
        <f>L44+L47+L45+L46</f>
        <v>675.89622727557457</v>
      </c>
      <c r="E55" s="21">
        <f>-1*L46</f>
        <v>-164.30353107754115</v>
      </c>
      <c r="G55" s="83">
        <v>4.0624376209672197E-4</v>
      </c>
      <c r="H55" s="84">
        <v>1.6573775359386004E-3</v>
      </c>
      <c r="I55" s="85">
        <v>3.112655127177248E-4</v>
      </c>
      <c r="K55" s="90">
        <f>-1*(K44+K47-K46-K45)</f>
        <v>1.6456352351160639</v>
      </c>
      <c r="L55" s="31">
        <v>2.0863387954153708E-3</v>
      </c>
    </row>
    <row r="56" spans="1:12" x14ac:dyDescent="0.25">
      <c r="C56" s="79">
        <f>-1*L49</f>
        <v>-117.51855532741534</v>
      </c>
      <c r="D56" s="64">
        <f>-1*L46</f>
        <v>-164.30353107754115</v>
      </c>
      <c r="E56" s="23">
        <f>L46+L51+L50+L49</f>
        <v>1028.2352153993131</v>
      </c>
      <c r="G56" s="86">
        <v>2.2466981680749852E-4</v>
      </c>
      <c r="H56" s="87">
        <v>3.112655127177248E-4</v>
      </c>
      <c r="I56" s="88">
        <v>1.0479556418621719E-3</v>
      </c>
      <c r="K56" s="91">
        <f>-1*(K46+K51-K50+K49)</f>
        <v>-6.31625891472211</v>
      </c>
      <c r="L56" s="35">
        <v>-5.3741859501899025E-3</v>
      </c>
    </row>
    <row r="57" spans="1:12" x14ac:dyDescent="0.25">
      <c r="A57" s="15" t="s">
        <v>25</v>
      </c>
    </row>
    <row r="58" spans="1:12" x14ac:dyDescent="0.25">
      <c r="A58" s="16">
        <f>A40+1</f>
        <v>3</v>
      </c>
      <c r="B58" s="18" t="s">
        <v>3</v>
      </c>
      <c r="C58" s="26" t="s">
        <v>4</v>
      </c>
      <c r="D58" s="26" t="s">
        <v>6</v>
      </c>
      <c r="E58" s="26" t="s">
        <v>8</v>
      </c>
      <c r="F58" s="26" t="s">
        <v>14</v>
      </c>
      <c r="G58" s="26" t="s">
        <v>17</v>
      </c>
      <c r="H58" s="26" t="s">
        <v>15</v>
      </c>
      <c r="I58" s="26" t="s">
        <v>9</v>
      </c>
      <c r="J58" s="26"/>
      <c r="K58" s="26"/>
      <c r="L58" s="19"/>
    </row>
    <row r="59" spans="1:12" x14ac:dyDescent="0.25">
      <c r="B59" s="24"/>
      <c r="C59" s="27" t="s">
        <v>5</v>
      </c>
      <c r="D59" s="27" t="s">
        <v>7</v>
      </c>
      <c r="E59" s="27" t="s">
        <v>7</v>
      </c>
      <c r="F59" s="27"/>
      <c r="G59" s="27" t="s">
        <v>18</v>
      </c>
      <c r="H59" s="27" t="s">
        <v>16</v>
      </c>
      <c r="I59" s="27" t="s">
        <v>10</v>
      </c>
      <c r="J59" s="28" t="s">
        <v>11</v>
      </c>
      <c r="K59" s="28" t="s">
        <v>12</v>
      </c>
      <c r="L59" s="25" t="s">
        <v>13</v>
      </c>
    </row>
    <row r="60" spans="1:12" x14ac:dyDescent="0.25">
      <c r="B60" s="20">
        <v>1</v>
      </c>
      <c r="C60" s="38">
        <f>C42+L54</f>
        <v>0.20446955430426941</v>
      </c>
      <c r="D60" s="30">
        <v>300</v>
      </c>
      <c r="E60" s="29">
        <v>0.3</v>
      </c>
      <c r="F60" s="31">
        <v>8.7000000000000001E-4</v>
      </c>
      <c r="G60" s="29">
        <f>ABS(C60/(PI()*E60^2/4))</f>
        <v>2.8926524692729956</v>
      </c>
      <c r="H60" s="32">
        <f>E60*G60*1000/0.001</f>
        <v>867795.74078189861</v>
      </c>
      <c r="I60" s="33">
        <f>IF(H60&lt;=2100,64/H60,0.25*(LOG10(F60/3.7+5.74/H60^0.9))^-2)</f>
        <v>1.9471453501122973E-2</v>
      </c>
      <c r="J60" s="32">
        <f t="shared" ref="J60:J69" si="21">8*I60*D60/(9.81*PI()^2*E60^5)</f>
        <v>198.6253096206211</v>
      </c>
      <c r="K60" s="29">
        <f>J60*C60^2*C60/ABS(C60)</f>
        <v>8.3040869489074911</v>
      </c>
      <c r="L60" s="21">
        <f>ABS(2*K60/C60)</f>
        <v>81.225657063351832</v>
      </c>
    </row>
    <row r="61" spans="1:12" x14ac:dyDescent="0.25">
      <c r="B61" s="20">
        <v>2</v>
      </c>
      <c r="C61" s="38">
        <f>C43-L54</f>
        <v>9.553044569573059E-2</v>
      </c>
      <c r="D61" s="30">
        <v>250</v>
      </c>
      <c r="E61" s="29">
        <v>0.25</v>
      </c>
      <c r="F61" s="31">
        <v>1.0399999999999999E-3</v>
      </c>
      <c r="G61" s="29">
        <f>ABS(C61/(PI()*E61^2/4))</f>
        <v>1.9461302589756673</v>
      </c>
      <c r="H61" s="32">
        <f t="shared" ref="H61:H63" si="22">E61*G61*1000/0.001</f>
        <v>486532.5647439168</v>
      </c>
      <c r="I61" s="33">
        <f t="shared" ref="I61:I69" si="23">IF(H61&lt;=2100,64/H61,0.25*(LOG10(F61/3.7+5.74/H61^0.9))^-2)</f>
        <v>2.0544053591950624E-2</v>
      </c>
      <c r="J61" s="32">
        <f t="shared" si="21"/>
        <v>434.55758911111349</v>
      </c>
      <c r="K61" s="29">
        <f>J61*C61^2*C61/ABS(C61)</f>
        <v>3.9658012628534931</v>
      </c>
      <c r="L61" s="21">
        <f>ABS(2*K61/C61)</f>
        <v>83.026960336493673</v>
      </c>
    </row>
    <row r="62" spans="1:12" x14ac:dyDescent="0.25">
      <c r="B62" s="20">
        <v>5</v>
      </c>
      <c r="C62" s="38">
        <f>C44+L55</f>
        <v>7.9481320136657416E-2</v>
      </c>
      <c r="D62" s="30">
        <v>350</v>
      </c>
      <c r="E62" s="29">
        <v>0.2</v>
      </c>
      <c r="F62" s="31">
        <v>1.2999999999999999E-3</v>
      </c>
      <c r="G62" s="29">
        <f t="shared" ref="G62:G69" si="24">ABS(C62/(PI()*E62^2/4))</f>
        <v>2.5299689966436851</v>
      </c>
      <c r="H62" s="32">
        <f t="shared" si="22"/>
        <v>505993.79932873696</v>
      </c>
      <c r="I62" s="33">
        <f t="shared" si="23"/>
        <v>2.1562670484391075E-2</v>
      </c>
      <c r="J62" s="32">
        <f t="shared" si="21"/>
        <v>1948.6859163834636</v>
      </c>
      <c r="K62" s="29">
        <f t="shared" ref="K62:K69" si="25">J62*C62^2*C62/ABS(C62)</f>
        <v>12.310395054319887</v>
      </c>
      <c r="L62" s="21">
        <f t="shared" ref="L62:L69" si="26">ABS(2*K62/C62)</f>
        <v>309.76825833173939</v>
      </c>
    </row>
    <row r="63" spans="1:12" x14ac:dyDescent="0.25">
      <c r="B63" s="20">
        <v>3</v>
      </c>
      <c r="C63" s="38">
        <f>C45+L54-L55</f>
        <v>0.12498823416761198</v>
      </c>
      <c r="D63" s="30">
        <v>125</v>
      </c>
      <c r="E63" s="29">
        <v>0.2</v>
      </c>
      <c r="F63" s="31">
        <v>1.2999999999999999E-3</v>
      </c>
      <c r="G63" s="29">
        <f t="shared" si="24"/>
        <v>3.9784990592205545</v>
      </c>
      <c r="H63" s="32">
        <f t="shared" si="22"/>
        <v>795699.81184411095</v>
      </c>
      <c r="I63" s="33">
        <f t="shared" si="23"/>
        <v>2.1363120302931866E-2</v>
      </c>
      <c r="J63" s="32">
        <f t="shared" si="21"/>
        <v>689.51855102787738</v>
      </c>
      <c r="K63" s="29">
        <f t="shared" si="25"/>
        <v>10.771699265339</v>
      </c>
      <c r="L63" s="21">
        <f t="shared" si="26"/>
        <v>172.36341223756972</v>
      </c>
    </row>
    <row r="64" spans="1:12" x14ac:dyDescent="0.25">
      <c r="B64" s="20">
        <v>6</v>
      </c>
      <c r="C64" s="38">
        <f>C46-L55+L56</f>
        <v>3.3813044272988667E-2</v>
      </c>
      <c r="D64" s="30">
        <v>350</v>
      </c>
      <c r="E64" s="29">
        <v>0.2</v>
      </c>
      <c r="F64" s="31">
        <v>1.2999999999999999E-3</v>
      </c>
      <c r="G64" s="29">
        <f t="shared" si="24"/>
        <v>1.0763026274062497</v>
      </c>
      <c r="H64" s="32">
        <f>E64*G64*1000/0.001</f>
        <v>215260.52548124996</v>
      </c>
      <c r="I64" s="33">
        <f t="shared" si="23"/>
        <v>2.222104294161794E-2</v>
      </c>
      <c r="J64" s="32">
        <f t="shared" si="21"/>
        <v>2008.1850927986243</v>
      </c>
      <c r="K64" s="29">
        <f t="shared" si="25"/>
        <v>2.2960021223801017</v>
      </c>
      <c r="L64" s="21">
        <f t="shared" si="26"/>
        <v>135.80570290231148</v>
      </c>
    </row>
    <row r="65" spans="1:12" x14ac:dyDescent="0.25">
      <c r="B65" s="20">
        <v>7</v>
      </c>
      <c r="C65" s="38">
        <f>C47+L55</f>
        <v>2.948132013665742E-2</v>
      </c>
      <c r="D65" s="30">
        <v>125</v>
      </c>
      <c r="E65" s="29">
        <v>0.2</v>
      </c>
      <c r="F65" s="31">
        <v>1.2999999999999999E-3</v>
      </c>
      <c r="G65" s="29">
        <f t="shared" si="24"/>
        <v>0.93841956572473184</v>
      </c>
      <c r="H65" s="32">
        <f t="shared" ref="H65:H69" si="27">E65*G65*1000/0.001</f>
        <v>187683.91314494636</v>
      </c>
      <c r="I65" s="33">
        <f t="shared" si="23"/>
        <v>2.2375280911370261E-2</v>
      </c>
      <c r="J65" s="32">
        <f t="shared" si="21"/>
        <v>722.18716433162581</v>
      </c>
      <c r="K65" s="29">
        <f t="shared" si="25"/>
        <v>0.62768770066292123</v>
      </c>
      <c r="L65" s="21">
        <f t="shared" si="26"/>
        <v>42.582061980490963</v>
      </c>
    </row>
    <row r="66" spans="1:12" x14ac:dyDescent="0.25">
      <c r="B66" s="20">
        <v>4</v>
      </c>
      <c r="C66" s="38">
        <f>C48-L54</f>
        <v>9.553044569573059E-2</v>
      </c>
      <c r="D66" s="30">
        <v>300</v>
      </c>
      <c r="E66" s="29">
        <v>0.2</v>
      </c>
      <c r="F66" s="31">
        <v>1.2999999999999999E-3</v>
      </c>
      <c r="G66" s="29">
        <f t="shared" si="24"/>
        <v>3.0408285296494797</v>
      </c>
      <c r="H66" s="32">
        <f t="shared" si="27"/>
        <v>608165.70592989586</v>
      </c>
      <c r="I66" s="33">
        <f t="shared" si="23"/>
        <v>2.1472257886329973E-2</v>
      </c>
      <c r="J66" s="32">
        <f t="shared" si="21"/>
        <v>1663.2986120156522</v>
      </c>
      <c r="K66" s="29">
        <f t="shared" si="25"/>
        <v>15.179373002153467</v>
      </c>
      <c r="L66" s="21">
        <f t="shared" si="26"/>
        <v>317.79131546189063</v>
      </c>
    </row>
    <row r="67" spans="1:12" x14ac:dyDescent="0.25">
      <c r="B67" s="20">
        <v>8</v>
      </c>
      <c r="C67" s="38">
        <f>C49-L54+L56</f>
        <v>8.8248101053766785E-3</v>
      </c>
      <c r="D67" s="30">
        <v>125</v>
      </c>
      <c r="E67" s="29">
        <v>0.15</v>
      </c>
      <c r="F67" s="31">
        <v>1.73E-3</v>
      </c>
      <c r="G67" s="29">
        <f t="shared" si="24"/>
        <v>0.49938209781973625</v>
      </c>
      <c r="H67" s="32">
        <f t="shared" si="27"/>
        <v>74907.314672960434</v>
      </c>
      <c r="I67" s="33">
        <f t="shared" si="23"/>
        <v>2.5146488204006726E-2</v>
      </c>
      <c r="J67" s="32">
        <f t="shared" si="21"/>
        <v>3420.2062385697586</v>
      </c>
      <c r="K67" s="29">
        <f t="shared" si="25"/>
        <v>0.26635633631165939</v>
      </c>
      <c r="L67" s="21">
        <f t="shared" si="26"/>
        <v>60.36534115320552</v>
      </c>
    </row>
    <row r="68" spans="1:12" x14ac:dyDescent="0.25">
      <c r="B68" s="20">
        <v>9</v>
      </c>
      <c r="C68" s="38">
        <f>C50-L56</f>
        <v>8.6705635590353922E-2</v>
      </c>
      <c r="D68" s="30">
        <v>350</v>
      </c>
      <c r="E68" s="29">
        <v>0.2</v>
      </c>
      <c r="F68" s="31">
        <v>1.2999999999999999E-3</v>
      </c>
      <c r="G68" s="29">
        <f t="shared" si="24"/>
        <v>2.7599260996258783</v>
      </c>
      <c r="H68" s="32">
        <f t="shared" si="27"/>
        <v>551985.21992517565</v>
      </c>
      <c r="I68" s="33">
        <f t="shared" si="23"/>
        <v>2.1518152767861599E-2</v>
      </c>
      <c r="J68" s="32">
        <f t="shared" si="21"/>
        <v>1944.6627112200149</v>
      </c>
      <c r="K68" s="29">
        <f t="shared" si="25"/>
        <v>14.619716095611974</v>
      </c>
      <c r="L68" s="21">
        <f t="shared" si="26"/>
        <v>337.22643277038452</v>
      </c>
    </row>
    <row r="69" spans="1:12" x14ac:dyDescent="0.25">
      <c r="B69" s="22">
        <v>10</v>
      </c>
      <c r="C69" s="39">
        <f>C51+L56</f>
        <v>6.3294364409646087E-2</v>
      </c>
      <c r="D69" s="27">
        <v>125</v>
      </c>
      <c r="E69" s="34">
        <v>0.15</v>
      </c>
      <c r="F69" s="35">
        <v>1.73E-3</v>
      </c>
      <c r="G69" s="34">
        <f t="shared" si="24"/>
        <v>3.5817283433439675</v>
      </c>
      <c r="H69" s="36">
        <f t="shared" si="27"/>
        <v>537259.25150159514</v>
      </c>
      <c r="I69" s="37">
        <f t="shared" si="23"/>
        <v>2.3033124406058678E-2</v>
      </c>
      <c r="J69" s="36">
        <f t="shared" si="21"/>
        <v>3132.7649073003813</v>
      </c>
      <c r="K69" s="34">
        <f t="shared" si="25"/>
        <v>12.550409358479968</v>
      </c>
      <c r="L69" s="23">
        <f t="shared" si="26"/>
        <v>396.57272730484294</v>
      </c>
    </row>
    <row r="71" spans="1:12" x14ac:dyDescent="0.25">
      <c r="B71" t="s">
        <v>19</v>
      </c>
      <c r="G71" t="s">
        <v>20</v>
      </c>
      <c r="K71" s="17" t="s">
        <v>21</v>
      </c>
      <c r="L71" t="s">
        <v>22</v>
      </c>
    </row>
    <row r="72" spans="1:12" x14ac:dyDescent="0.25">
      <c r="C72" s="57">
        <f>L60+L63+L67+L66+L61</f>
        <v>714.77268625251133</v>
      </c>
      <c r="D72" s="76">
        <f>-1*L63</f>
        <v>-172.36341223756972</v>
      </c>
      <c r="E72" s="77">
        <f>-1*L67</f>
        <v>-60.36534115320552</v>
      </c>
      <c r="G72" s="80">
        <f t="array" ref="G72:I74">MINVERSE(C72:E74)</f>
        <v>1.5160263350071127E-3</v>
      </c>
      <c r="H72" s="81">
        <v>4.2871403242349012E-4</v>
      </c>
      <c r="I72" s="82">
        <v>1.610129623101915E-4</v>
      </c>
      <c r="K72" s="89">
        <f>-1*(K60+K63-K67-K66-K61)</f>
        <v>0.33574438707212773</v>
      </c>
      <c r="L72" s="75">
        <f t="array" ref="L72:L74">MMULT(G72:I74,K72:K74)</f>
        <v>4.851789410892874E-4</v>
      </c>
    </row>
    <row r="73" spans="1:12" x14ac:dyDescent="0.25">
      <c r="C73" s="78">
        <f>-1*L63</f>
        <v>-172.36341223756972</v>
      </c>
      <c r="D73" s="44">
        <f>L62+L65+L63+L64</f>
        <v>660.51943545211157</v>
      </c>
      <c r="E73" s="21">
        <f>-1*L64</f>
        <v>-135.80570290231148</v>
      </c>
      <c r="G73" s="83">
        <v>4.2871403242349012E-4</v>
      </c>
      <c r="H73" s="84">
        <v>1.6820587209176853E-3</v>
      </c>
      <c r="I73" s="85">
        <v>2.7346320840387466E-4</v>
      </c>
      <c r="K73" s="90">
        <f>-1*(K62+K65-K64-K63)</f>
        <v>0.12961863273629426</v>
      </c>
      <c r="L73" s="31">
        <v>2.2713297594597075E-4</v>
      </c>
    </row>
    <row r="74" spans="1:12" x14ac:dyDescent="0.25">
      <c r="C74" s="79">
        <f>-1*L67</f>
        <v>-60.36534115320552</v>
      </c>
      <c r="D74" s="64">
        <f>-1*L64</f>
        <v>-135.80570290231148</v>
      </c>
      <c r="E74" s="23">
        <f>L64+L69+L68+L67</f>
        <v>929.97020413074438</v>
      </c>
      <c r="G74" s="86">
        <v>1.610129623101915E-4</v>
      </c>
      <c r="H74" s="87">
        <v>2.7346320840387466E-4</v>
      </c>
      <c r="I74" s="88">
        <v>1.1256892543279535E-3</v>
      </c>
      <c r="K74" s="91">
        <f>-1*(K64+K69-K68+K67)</f>
        <v>-0.49305172155975535</v>
      </c>
      <c r="L74" s="35">
        <v>-4.6551789926922135E-4</v>
      </c>
    </row>
    <row r="75" spans="1:12" x14ac:dyDescent="0.25">
      <c r="A75" s="15" t="s">
        <v>25</v>
      </c>
      <c r="C75" s="12"/>
      <c r="E75" s="12"/>
      <c r="G75" s="13"/>
      <c r="H75" s="2"/>
      <c r="I75" s="12"/>
    </row>
    <row r="76" spans="1:12" x14ac:dyDescent="0.25">
      <c r="A76" s="16">
        <f>A58+1</f>
        <v>4</v>
      </c>
      <c r="B76" s="18" t="s">
        <v>3</v>
      </c>
      <c r="C76" s="26" t="s">
        <v>4</v>
      </c>
      <c r="D76" s="26" t="s">
        <v>6</v>
      </c>
      <c r="E76" s="26" t="s">
        <v>8</v>
      </c>
      <c r="F76" s="26" t="s">
        <v>14</v>
      </c>
      <c r="G76" s="26" t="s">
        <v>17</v>
      </c>
      <c r="H76" s="26" t="s">
        <v>15</v>
      </c>
      <c r="I76" s="26" t="s">
        <v>9</v>
      </c>
      <c r="J76" s="26"/>
      <c r="K76" s="26"/>
      <c r="L76" s="19"/>
    </row>
    <row r="77" spans="1:12" x14ac:dyDescent="0.25">
      <c r="B77" s="24"/>
      <c r="C77" s="27" t="s">
        <v>5</v>
      </c>
      <c r="D77" s="27" t="s">
        <v>7</v>
      </c>
      <c r="E77" s="27" t="s">
        <v>7</v>
      </c>
      <c r="F77" s="27"/>
      <c r="G77" s="27" t="s">
        <v>18</v>
      </c>
      <c r="H77" s="27" t="s">
        <v>16</v>
      </c>
      <c r="I77" s="27" t="s">
        <v>10</v>
      </c>
      <c r="J77" s="28" t="s">
        <v>11</v>
      </c>
      <c r="K77" s="28" t="s">
        <v>12</v>
      </c>
      <c r="L77" s="25" t="s">
        <v>13</v>
      </c>
    </row>
    <row r="78" spans="1:12" x14ac:dyDescent="0.25">
      <c r="B78" s="20">
        <v>1</v>
      </c>
      <c r="C78" s="38">
        <f>C60+L72</f>
        <v>0.20495473324535871</v>
      </c>
      <c r="D78" s="30">
        <v>300</v>
      </c>
      <c r="E78" s="29">
        <v>0.3</v>
      </c>
      <c r="F78" s="31">
        <v>8.7000000000000001E-4</v>
      </c>
      <c r="G78" s="29">
        <f>ABS(C78/(PI()*E78^2/4))</f>
        <v>2.8995163472070802</v>
      </c>
      <c r="H78" s="32">
        <f>E78*G78*1000/0.001</f>
        <v>869854.90416212403</v>
      </c>
      <c r="I78" s="33">
        <f>IF(H78&lt;=2100,64/H78,0.25*(LOG10(F78/3.7+5.74/H78^0.9))^-2)</f>
        <v>1.9470453401392734E-2</v>
      </c>
      <c r="J78" s="32">
        <f t="shared" ref="J78:J87" si="28">8*I78*D78/(9.81*PI()^2*E78^5)</f>
        <v>198.61510775672025</v>
      </c>
      <c r="K78" s="29">
        <f>J78*C78^2*C78/ABS(C78)</f>
        <v>8.3431141393003703</v>
      </c>
      <c r="L78" s="21">
        <f>ABS(2*K78/C78)</f>
        <v>81.414212857553551</v>
      </c>
    </row>
    <row r="79" spans="1:12" x14ac:dyDescent="0.25">
      <c r="B79" s="20">
        <v>2</v>
      </c>
      <c r="C79" s="38">
        <f>C61-L72</f>
        <v>9.5045266754641297E-2</v>
      </c>
      <c r="D79" s="30">
        <v>250</v>
      </c>
      <c r="E79" s="29">
        <v>0.25</v>
      </c>
      <c r="F79" s="31">
        <v>1.0399999999999999E-3</v>
      </c>
      <c r="G79" s="29">
        <f>ABS(C79/(PI()*E79^2/4))</f>
        <v>1.9362462747505853</v>
      </c>
      <c r="H79" s="32">
        <f t="shared" ref="H79:H81" si="29">E79*G79*1000/0.001</f>
        <v>484061.56868764636</v>
      </c>
      <c r="I79" s="33">
        <f t="shared" ref="I79:I87" si="30">IF(H79&lt;=2100,64/H79,0.25*(LOG10(F79/3.7+5.74/H79^0.9))^-2)</f>
        <v>2.0547214480624305E-2</v>
      </c>
      <c r="J79" s="32">
        <f t="shared" si="28"/>
        <v>434.62444973116277</v>
      </c>
      <c r="K79" s="29">
        <f>J79*C79^2*C79/ABS(C79)</f>
        <v>3.9262246166857562</v>
      </c>
      <c r="L79" s="21">
        <f>ABS(2*K79/C79)</f>
        <v>82.617993525575088</v>
      </c>
    </row>
    <row r="80" spans="1:12" x14ac:dyDescent="0.25">
      <c r="B80" s="20">
        <v>5</v>
      </c>
      <c r="C80" s="38">
        <f>C62+L73</f>
        <v>7.9708453112603384E-2</v>
      </c>
      <c r="D80" s="30">
        <v>350</v>
      </c>
      <c r="E80" s="29">
        <v>0.2</v>
      </c>
      <c r="F80" s="31">
        <v>1.2999999999999999E-3</v>
      </c>
      <c r="G80" s="29">
        <f t="shared" ref="G80:G87" si="31">ABS(C80/(PI()*E80^2/4))</f>
        <v>2.5371988638158798</v>
      </c>
      <c r="H80" s="32">
        <f t="shared" si="29"/>
        <v>507439.77276317601</v>
      </c>
      <c r="I80" s="33">
        <f t="shared" si="30"/>
        <v>2.1561157936537838E-2</v>
      </c>
      <c r="J80" s="32">
        <f t="shared" si="28"/>
        <v>1948.5492227071588</v>
      </c>
      <c r="K80" s="29">
        <f t="shared" ref="K80:K87" si="32">J80*C80^2*C80/ABS(C80)</f>
        <v>12.37998569747497</v>
      </c>
      <c r="L80" s="21">
        <f t="shared" ref="L80:L87" si="33">ABS(2*K80/C80)</f>
        <v>310.63168871150668</v>
      </c>
    </row>
    <row r="81" spans="1:12" x14ac:dyDescent="0.25">
      <c r="B81" s="20">
        <v>3</v>
      </c>
      <c r="C81" s="38">
        <f>C63+L72-L73</f>
        <v>0.12524628013275529</v>
      </c>
      <c r="D81" s="30">
        <v>125</v>
      </c>
      <c r="E81" s="29">
        <v>0.2</v>
      </c>
      <c r="F81" s="31">
        <v>1.2999999999999999E-3</v>
      </c>
      <c r="G81" s="29">
        <f t="shared" si="31"/>
        <v>3.98671291740005</v>
      </c>
      <c r="H81" s="32">
        <f t="shared" si="29"/>
        <v>797342.58348001004</v>
      </c>
      <c r="I81" s="33">
        <f t="shared" si="30"/>
        <v>2.1362376093020798E-2</v>
      </c>
      <c r="J81" s="32">
        <f t="shared" si="28"/>
        <v>689.49453082238949</v>
      </c>
      <c r="K81" s="29">
        <f t="shared" si="32"/>
        <v>10.815846065781018</v>
      </c>
      <c r="L81" s="21">
        <f t="shared" si="33"/>
        <v>172.71325031476735</v>
      </c>
    </row>
    <row r="82" spans="1:12" x14ac:dyDescent="0.25">
      <c r="B82" s="20">
        <v>6</v>
      </c>
      <c r="C82" s="38">
        <f>C64-L73+L74</f>
        <v>3.3120393397773479E-2</v>
      </c>
      <c r="D82" s="30">
        <v>350</v>
      </c>
      <c r="E82" s="29">
        <v>0.2</v>
      </c>
      <c r="F82" s="31">
        <v>1.2999999999999999E-3</v>
      </c>
      <c r="G82" s="29">
        <f t="shared" si="31"/>
        <v>1.0542548652807648</v>
      </c>
      <c r="H82" s="32">
        <f>E82*G82*1000/0.001</f>
        <v>210850.97305615299</v>
      </c>
      <c r="I82" s="33">
        <f t="shared" si="30"/>
        <v>2.224328235464778E-2</v>
      </c>
      <c r="J82" s="32">
        <f t="shared" si="28"/>
        <v>2010.1949380537033</v>
      </c>
      <c r="K82" s="29">
        <f t="shared" si="32"/>
        <v>2.2051043615716193</v>
      </c>
      <c r="L82" s="21">
        <f t="shared" si="33"/>
        <v>133.15689430910308</v>
      </c>
    </row>
    <row r="83" spans="1:12" x14ac:dyDescent="0.25">
      <c r="B83" s="20">
        <v>7</v>
      </c>
      <c r="C83" s="38">
        <f>C65+L73</f>
        <v>2.9708453112603391E-2</v>
      </c>
      <c r="D83" s="30">
        <v>125</v>
      </c>
      <c r="E83" s="29">
        <v>0.2</v>
      </c>
      <c r="F83" s="31">
        <v>1.2999999999999999E-3</v>
      </c>
      <c r="G83" s="29">
        <f t="shared" si="31"/>
        <v>0.94564943289692671</v>
      </c>
      <c r="H83" s="32">
        <f t="shared" ref="H83:H87" si="34">E83*G83*1000/0.001</f>
        <v>189129.88657938535</v>
      </c>
      <c r="I83" s="33">
        <f t="shared" si="30"/>
        <v>2.2366203730648508E-2</v>
      </c>
      <c r="J83" s="32">
        <f t="shared" si="28"/>
        <v>721.89418819284413</v>
      </c>
      <c r="K83" s="29">
        <f t="shared" si="32"/>
        <v>0.63713816986597172</v>
      </c>
      <c r="L83" s="21">
        <f t="shared" si="33"/>
        <v>42.892719284375993</v>
      </c>
    </row>
    <row r="84" spans="1:12" x14ac:dyDescent="0.25">
      <c r="B84" s="20">
        <v>4</v>
      </c>
      <c r="C84" s="38">
        <f>C66-L72</f>
        <v>9.5045266754641297E-2</v>
      </c>
      <c r="D84" s="30">
        <v>300</v>
      </c>
      <c r="E84" s="29">
        <v>0.2</v>
      </c>
      <c r="F84" s="31">
        <v>1.2999999999999999E-3</v>
      </c>
      <c r="G84" s="29">
        <f t="shared" si="31"/>
        <v>3.0253848042977891</v>
      </c>
      <c r="H84" s="32">
        <f t="shared" si="34"/>
        <v>605076.96085955785</v>
      </c>
      <c r="I84" s="33">
        <f t="shared" si="30"/>
        <v>2.1474576205512477E-2</v>
      </c>
      <c r="J84" s="32">
        <f t="shared" si="28"/>
        <v>1663.4781952294384</v>
      </c>
      <c r="K84" s="29">
        <f t="shared" si="32"/>
        <v>15.02720116981382</v>
      </c>
      <c r="L84" s="21">
        <f t="shared" si="33"/>
        <v>316.21145761222255</v>
      </c>
    </row>
    <row r="85" spans="1:12" x14ac:dyDescent="0.25">
      <c r="B85" s="20">
        <v>8</v>
      </c>
      <c r="C85" s="38">
        <f>C67-L72+L74</f>
        <v>7.8741132650181692E-3</v>
      </c>
      <c r="D85" s="30">
        <v>125</v>
      </c>
      <c r="E85" s="29">
        <v>0.15</v>
      </c>
      <c r="F85" s="31">
        <v>1.73E-3</v>
      </c>
      <c r="G85" s="29">
        <f t="shared" si="31"/>
        <v>0.44558366172199287</v>
      </c>
      <c r="H85" s="32">
        <f t="shared" si="34"/>
        <v>66837.549258298939</v>
      </c>
      <c r="I85" s="33">
        <f t="shared" si="30"/>
        <v>2.5394501363576769E-2</v>
      </c>
      <c r="J85" s="32">
        <f t="shared" si="28"/>
        <v>3453.938827737963</v>
      </c>
      <c r="K85" s="29">
        <f t="shared" si="32"/>
        <v>0.2141499398577229</v>
      </c>
      <c r="L85" s="21">
        <f t="shared" si="33"/>
        <v>54.393411080105608</v>
      </c>
    </row>
    <row r="86" spans="1:12" x14ac:dyDescent="0.25">
      <c r="B86" s="20">
        <v>9</v>
      </c>
      <c r="C86" s="38">
        <f>C68-L74</f>
        <v>8.7171153489623149E-2</v>
      </c>
      <c r="D86" s="30">
        <v>350</v>
      </c>
      <c r="E86" s="29">
        <v>0.2</v>
      </c>
      <c r="F86" s="31">
        <v>1.2999999999999999E-3</v>
      </c>
      <c r="G86" s="29">
        <f t="shared" si="31"/>
        <v>2.7747439945791692</v>
      </c>
      <c r="H86" s="32">
        <f t="shared" si="34"/>
        <v>554948.79891583382</v>
      </c>
      <c r="I86" s="33">
        <f t="shared" si="30"/>
        <v>2.1515517961096218E-2</v>
      </c>
      <c r="J86" s="32">
        <f t="shared" si="28"/>
        <v>1944.4245954986898</v>
      </c>
      <c r="K86" s="29">
        <f t="shared" si="32"/>
        <v>14.775313061904734</v>
      </c>
      <c r="L86" s="21">
        <f t="shared" si="33"/>
        <v>338.99546972642935</v>
      </c>
    </row>
    <row r="87" spans="1:12" x14ac:dyDescent="0.25">
      <c r="B87" s="22">
        <v>10</v>
      </c>
      <c r="C87" s="39">
        <f>C69+L74</f>
        <v>6.282884651037686E-2</v>
      </c>
      <c r="D87" s="27">
        <v>125</v>
      </c>
      <c r="E87" s="34">
        <v>0.15</v>
      </c>
      <c r="F87" s="35">
        <v>1.73E-3</v>
      </c>
      <c r="G87" s="34">
        <f t="shared" si="31"/>
        <v>3.5553854189825622</v>
      </c>
      <c r="H87" s="36">
        <f t="shared" si="34"/>
        <v>533307.81284738425</v>
      </c>
      <c r="I87" s="37">
        <f t="shared" si="30"/>
        <v>2.3036311840257666E-2</v>
      </c>
      <c r="J87" s="36">
        <f t="shared" si="28"/>
        <v>3133.1984343298404</v>
      </c>
      <c r="K87" s="34">
        <f t="shared" si="32"/>
        <v>12.368187879696388</v>
      </c>
      <c r="L87" s="23">
        <f t="shared" si="33"/>
        <v>393.71048703412526</v>
      </c>
    </row>
    <row r="89" spans="1:12" x14ac:dyDescent="0.25">
      <c r="B89" t="s">
        <v>19</v>
      </c>
      <c r="G89" t="s">
        <v>20</v>
      </c>
      <c r="K89" s="17" t="s">
        <v>21</v>
      </c>
      <c r="L89" t="s">
        <v>22</v>
      </c>
    </row>
    <row r="90" spans="1:12" x14ac:dyDescent="0.25">
      <c r="C90" s="57">
        <f>L78+L81+L85+L84+L79</f>
        <v>707.35032539022416</v>
      </c>
      <c r="D90" s="76">
        <f>-1*L81</f>
        <v>-172.71325031476735</v>
      </c>
      <c r="E90" s="77">
        <f>-1*L85</f>
        <v>-54.393411080105608</v>
      </c>
      <c r="G90" s="80">
        <f t="array" ref="G90:I92">MINVERSE(C90:E92)</f>
        <v>1.5309444558710046E-3</v>
      </c>
      <c r="H90" s="81">
        <v>4.3188852479404205E-4</v>
      </c>
      <c r="I90" s="82">
        <v>1.5298154608526189E-4</v>
      </c>
      <c r="K90" s="89">
        <f>-1*(K78+K81-K85-K84-K79)</f>
        <v>8.615521275910254E-3</v>
      </c>
      <c r="L90" s="75">
        <f t="array" ref="L90:L92">MMULT(G90:I92,K90:K92)</f>
        <v>1.2987000479200317E-5</v>
      </c>
    </row>
    <row r="91" spans="1:12" x14ac:dyDescent="0.25">
      <c r="C91" s="78">
        <f>-1*L81</f>
        <v>-172.71325031476735</v>
      </c>
      <c r="D91" s="44">
        <f>L80+L83+L81+L82</f>
        <v>659.39455261975309</v>
      </c>
      <c r="E91" s="21">
        <f>-1*L82</f>
        <v>-133.15689430910308</v>
      </c>
      <c r="G91" s="83">
        <v>4.3188852479404211E-4</v>
      </c>
      <c r="H91" s="84">
        <v>1.6840274528040827E-3</v>
      </c>
      <c r="I91" s="85">
        <v>2.6919866324826805E-4</v>
      </c>
      <c r="K91" s="90">
        <f>-1*(K80+K83-K82-K81)</f>
        <v>3.8265600116957899E-3</v>
      </c>
      <c r="L91" s="31">
        <v>6.8998342030117611E-6</v>
      </c>
    </row>
    <row r="92" spans="1:12" x14ac:dyDescent="0.25">
      <c r="C92" s="79">
        <f>-1*L85</f>
        <v>-54.393411080105608</v>
      </c>
      <c r="D92" s="64">
        <f>-1*L82</f>
        <v>-133.15689430910308</v>
      </c>
      <c r="E92" s="23">
        <f>L82+L87+L86+L85</f>
        <v>920.25626214976319</v>
      </c>
      <c r="G92" s="86">
        <v>1.5298154608526189E-4</v>
      </c>
      <c r="H92" s="87">
        <v>2.6919866324826805E-4</v>
      </c>
      <c r="I92" s="88">
        <v>1.1346479116968603E-3</v>
      </c>
      <c r="K92" s="91">
        <f>-1*(K82+K87-K86+K85)</f>
        <v>-1.2129119220995355E-2</v>
      </c>
      <c r="L92" s="35">
        <v>-1.1414159189717626E-5</v>
      </c>
    </row>
    <row r="93" spans="1:12" x14ac:dyDescent="0.25">
      <c r="A93" s="15" t="s">
        <v>25</v>
      </c>
      <c r="C93" s="12"/>
      <c r="E93" s="12"/>
      <c r="G93" s="13"/>
      <c r="H93" s="2"/>
      <c r="I93" s="12"/>
    </row>
    <row r="94" spans="1:12" x14ac:dyDescent="0.25">
      <c r="A94" s="16">
        <f>A76+1</f>
        <v>5</v>
      </c>
      <c r="B94" s="18" t="s">
        <v>3</v>
      </c>
      <c r="C94" s="26" t="s">
        <v>4</v>
      </c>
      <c r="D94" s="26" t="s">
        <v>6</v>
      </c>
      <c r="E94" s="26" t="s">
        <v>8</v>
      </c>
      <c r="F94" s="26" t="s">
        <v>14</v>
      </c>
      <c r="G94" s="26" t="s">
        <v>17</v>
      </c>
      <c r="H94" s="26" t="s">
        <v>15</v>
      </c>
      <c r="I94" s="26" t="s">
        <v>9</v>
      </c>
      <c r="J94" s="26"/>
      <c r="K94" s="26"/>
      <c r="L94" s="19"/>
    </row>
    <row r="95" spans="1:12" x14ac:dyDescent="0.25">
      <c r="B95" s="24"/>
      <c r="C95" s="27" t="s">
        <v>5</v>
      </c>
      <c r="D95" s="27" t="s">
        <v>7</v>
      </c>
      <c r="E95" s="27" t="s">
        <v>7</v>
      </c>
      <c r="F95" s="27"/>
      <c r="G95" s="27" t="s">
        <v>18</v>
      </c>
      <c r="H95" s="27" t="s">
        <v>16</v>
      </c>
      <c r="I95" s="27" t="s">
        <v>10</v>
      </c>
      <c r="J95" s="28" t="s">
        <v>11</v>
      </c>
      <c r="K95" s="28" t="s">
        <v>12</v>
      </c>
      <c r="L95" s="25" t="s">
        <v>13</v>
      </c>
    </row>
    <row r="96" spans="1:12" x14ac:dyDescent="0.25">
      <c r="B96" s="20">
        <v>1</v>
      </c>
      <c r="C96" s="38">
        <f>C78+L90</f>
        <v>0.2049677202458379</v>
      </c>
      <c r="D96" s="30">
        <v>300</v>
      </c>
      <c r="E96" s="29">
        <v>0.3</v>
      </c>
      <c r="F96" s="31">
        <v>8.7000000000000001E-4</v>
      </c>
      <c r="G96" s="29">
        <f>ABS(C96/(PI()*E96^2/4))</f>
        <v>2.899700075680165</v>
      </c>
      <c r="H96" s="32">
        <f>E96*G96*1000/0.001</f>
        <v>869910.02270404948</v>
      </c>
      <c r="I96" s="33">
        <f>IF(H96&lt;=2100,64/H96,0.25*(LOG10(F96/3.7+5.74/H96^0.9))^-2)</f>
        <v>1.9470426691242597E-2</v>
      </c>
      <c r="J96" s="32">
        <f t="shared" ref="J96:J105" si="35">8*I96*D96/(9.81*PI()^2*E96^5)</f>
        <v>198.61483529057691</v>
      </c>
      <c r="K96" s="29">
        <f>J96*C96^2*C96/ABS(C96)</f>
        <v>8.3441600524366706</v>
      </c>
      <c r="L96" s="21">
        <f>ABS(2*K96/C96)</f>
        <v>81.419259993024269</v>
      </c>
    </row>
    <row r="97" spans="2:12" x14ac:dyDescent="0.25">
      <c r="B97" s="20">
        <v>2</v>
      </c>
      <c r="C97" s="38">
        <f>C79-L90</f>
        <v>9.5032279754162091E-2</v>
      </c>
      <c r="D97" s="30">
        <v>250</v>
      </c>
      <c r="E97" s="29">
        <v>0.25</v>
      </c>
      <c r="F97" s="31">
        <v>1.0399999999999999E-3</v>
      </c>
      <c r="G97" s="29">
        <f>ABS(C97/(PI()*E97^2/4))</f>
        <v>1.9359817057493434</v>
      </c>
      <c r="H97" s="32">
        <f t="shared" ref="H97:H99" si="36">E97*G97*1000/0.001</f>
        <v>483995.42643733579</v>
      </c>
      <c r="I97" s="33">
        <f t="shared" ref="I97:I105" si="37">IF(H97&lt;=2100,64/H97,0.25*(LOG10(F97/3.7+5.74/H97^0.9))^-2)</f>
        <v>2.0547299493952599E-2</v>
      </c>
      <c r="J97" s="32">
        <f t="shared" si="35"/>
        <v>434.62624797350185</v>
      </c>
      <c r="K97" s="29">
        <f>J97*C97^2*C97/ABS(C97)</f>
        <v>3.9251679702368376</v>
      </c>
      <c r="L97" s="21">
        <f>ABS(2*K97/C97)</f>
        <v>82.607046371839317</v>
      </c>
    </row>
    <row r="98" spans="2:12" x14ac:dyDescent="0.25">
      <c r="B98" s="20">
        <v>5</v>
      </c>
      <c r="C98" s="38">
        <f>C80+L91</f>
        <v>7.97153529468064E-2</v>
      </c>
      <c r="D98" s="30">
        <v>350</v>
      </c>
      <c r="E98" s="29">
        <v>0.2</v>
      </c>
      <c r="F98" s="31">
        <v>1.2999999999999999E-3</v>
      </c>
      <c r="G98" s="29">
        <f t="shared" ref="G98:G105" si="38">ABS(C98/(PI()*E98^2/4))</f>
        <v>2.5374184923598646</v>
      </c>
      <c r="H98" s="32">
        <f t="shared" si="36"/>
        <v>507483.69847197295</v>
      </c>
      <c r="I98" s="33">
        <f t="shared" si="37"/>
        <v>2.1561112112585559E-2</v>
      </c>
      <c r="J98" s="32">
        <f t="shared" si="35"/>
        <v>1948.5450814533888</v>
      </c>
      <c r="K98" s="29">
        <f t="shared" ref="K98:K105" si="39">J98*C98^2*C98/ABS(C98)</f>
        <v>12.382102781638892</v>
      </c>
      <c r="L98" s="21">
        <f t="shared" ref="L98:L105" si="40">ABS(2*K98/C98)</f>
        <v>310.65791780164102</v>
      </c>
    </row>
    <row r="99" spans="2:12" x14ac:dyDescent="0.25">
      <c r="B99" s="20">
        <v>3</v>
      </c>
      <c r="C99" s="38">
        <f>C81+L90-L91</f>
        <v>0.12525236729903147</v>
      </c>
      <c r="D99" s="30">
        <v>125</v>
      </c>
      <c r="E99" s="29">
        <v>0.2</v>
      </c>
      <c r="F99" s="31">
        <v>1.2999999999999999E-3</v>
      </c>
      <c r="G99" s="29">
        <f t="shared" si="38"/>
        <v>3.9869066779205049</v>
      </c>
      <c r="H99" s="32">
        <f t="shared" si="36"/>
        <v>797381.33558410103</v>
      </c>
      <c r="I99" s="33">
        <f t="shared" si="37"/>
        <v>2.1362358571916804E-2</v>
      </c>
      <c r="J99" s="32">
        <f t="shared" si="35"/>
        <v>689.49396530920285</v>
      </c>
      <c r="K99" s="29">
        <f t="shared" si="39"/>
        <v>10.816888553743217</v>
      </c>
      <c r="L99" s="21">
        <f t="shared" si="40"/>
        <v>172.72150278674789</v>
      </c>
    </row>
    <row r="100" spans="2:12" x14ac:dyDescent="0.25">
      <c r="B100" s="20">
        <v>6</v>
      </c>
      <c r="C100" s="38">
        <f>C82-L91+L92</f>
        <v>3.3102079404380751E-2</v>
      </c>
      <c r="D100" s="30">
        <v>350</v>
      </c>
      <c r="E100" s="29">
        <v>0.2</v>
      </c>
      <c r="F100" s="31">
        <v>1.2999999999999999E-3</v>
      </c>
      <c r="G100" s="29">
        <f t="shared" si="38"/>
        <v>1.0536719127655239</v>
      </c>
      <c r="H100" s="32">
        <f>E100*G100*1000/0.001</f>
        <v>210734.38255310478</v>
      </c>
      <c r="I100" s="33">
        <f t="shared" si="37"/>
        <v>2.2243881641392644E-2</v>
      </c>
      <c r="J100" s="32">
        <f t="shared" si="35"/>
        <v>2010.2490974696457</v>
      </c>
      <c r="K100" s="29">
        <f t="shared" si="39"/>
        <v>2.2027257463664949</v>
      </c>
      <c r="L100" s="21">
        <f t="shared" si="40"/>
        <v>133.08685049404991</v>
      </c>
    </row>
    <row r="101" spans="2:12" x14ac:dyDescent="0.25">
      <c r="B101" s="20">
        <v>7</v>
      </c>
      <c r="C101" s="38">
        <f>C83+L91</f>
        <v>2.9715352946806405E-2</v>
      </c>
      <c r="D101" s="30">
        <v>125</v>
      </c>
      <c r="E101" s="29">
        <v>0.2</v>
      </c>
      <c r="F101" s="31">
        <v>1.2999999999999999E-3</v>
      </c>
      <c r="G101" s="29">
        <f t="shared" si="38"/>
        <v>0.94586906144091154</v>
      </c>
      <c r="H101" s="32">
        <f t="shared" ref="H101:H105" si="41">E101*G101*1000/0.001</f>
        <v>189173.81228818232</v>
      </c>
      <c r="I101" s="33">
        <f t="shared" si="37"/>
        <v>2.2365929913519666E-2</v>
      </c>
      <c r="J101" s="32">
        <f t="shared" si="35"/>
        <v>721.8853504394051</v>
      </c>
      <c r="K101" s="29">
        <f t="shared" si="39"/>
        <v>0.63742635312954465</v>
      </c>
      <c r="L101" s="21">
        <f t="shared" si="40"/>
        <v>42.902155950871901</v>
      </c>
    </row>
    <row r="102" spans="2:12" x14ac:dyDescent="0.25">
      <c r="B102" s="20">
        <v>4</v>
      </c>
      <c r="C102" s="38">
        <f>C84-L90</f>
        <v>9.5032279754162091E-2</v>
      </c>
      <c r="D102" s="30">
        <v>300</v>
      </c>
      <c r="E102" s="29">
        <v>0.2</v>
      </c>
      <c r="F102" s="31">
        <v>1.2999999999999999E-3</v>
      </c>
      <c r="G102" s="29">
        <f t="shared" si="38"/>
        <v>3.0249714152333489</v>
      </c>
      <c r="H102" s="32">
        <f t="shared" si="41"/>
        <v>604994.28304666979</v>
      </c>
      <c r="I102" s="33">
        <f t="shared" si="37"/>
        <v>2.1474638561605881E-2</v>
      </c>
      <c r="J102" s="32">
        <f t="shared" si="35"/>
        <v>1663.4830254994622</v>
      </c>
      <c r="K102" s="29">
        <f t="shared" si="39"/>
        <v>15.023138434844922</v>
      </c>
      <c r="L102" s="21">
        <f t="shared" si="40"/>
        <v>316.16916849112965</v>
      </c>
    </row>
    <row r="103" spans="2:12" x14ac:dyDescent="0.25">
      <c r="B103" s="20">
        <v>8</v>
      </c>
      <c r="C103" s="38">
        <f>C85-L90+L92</f>
        <v>7.8497121053492502E-3</v>
      </c>
      <c r="D103" s="30">
        <v>125</v>
      </c>
      <c r="E103" s="29">
        <v>0.15</v>
      </c>
      <c r="F103" s="31">
        <v>1.73E-3</v>
      </c>
      <c r="G103" s="29">
        <f t="shared" si="38"/>
        <v>0.4442028385474211</v>
      </c>
      <c r="H103" s="32">
        <f t="shared" si="41"/>
        <v>66630.425782113161</v>
      </c>
      <c r="I103" s="33">
        <f t="shared" si="37"/>
        <v>2.5401541330226166E-2</v>
      </c>
      <c r="J103" s="32">
        <f t="shared" si="35"/>
        <v>3454.8963426664195</v>
      </c>
      <c r="K103" s="29">
        <f t="shared" si="39"/>
        <v>0.21288373421735235</v>
      </c>
      <c r="L103" s="21">
        <f t="shared" si="40"/>
        <v>54.239883287510885</v>
      </c>
    </row>
    <row r="104" spans="2:12" x14ac:dyDescent="0.25">
      <c r="B104" s="20">
        <v>9</v>
      </c>
      <c r="C104" s="38">
        <f>C86-L92</f>
        <v>8.7182567648812867E-2</v>
      </c>
      <c r="D104" s="30">
        <v>350</v>
      </c>
      <c r="E104" s="29">
        <v>0.2</v>
      </c>
      <c r="F104" s="31">
        <v>1.2999999999999999E-3</v>
      </c>
      <c r="G104" s="29">
        <f t="shared" si="38"/>
        <v>2.7751073185504254</v>
      </c>
      <c r="H104" s="32">
        <f t="shared" si="41"/>
        <v>555021.46371008502</v>
      </c>
      <c r="I104" s="33">
        <f t="shared" si="37"/>
        <v>2.1515453683557693E-2</v>
      </c>
      <c r="J104" s="32">
        <f t="shared" si="35"/>
        <v>1944.4187865366619</v>
      </c>
      <c r="K104" s="29">
        <f t="shared" si="39"/>
        <v>14.779138510727142</v>
      </c>
      <c r="L104" s="21">
        <f t="shared" si="40"/>
        <v>339.03884478971031</v>
      </c>
    </row>
    <row r="105" spans="2:12" x14ac:dyDescent="0.25">
      <c r="B105" s="22">
        <v>10</v>
      </c>
      <c r="C105" s="39">
        <f>C87+L92</f>
        <v>6.2817432351187141E-2</v>
      </c>
      <c r="D105" s="27">
        <v>125</v>
      </c>
      <c r="E105" s="34">
        <v>0.15</v>
      </c>
      <c r="F105" s="35">
        <v>1.73E-3</v>
      </c>
      <c r="G105" s="34">
        <f t="shared" si="38"/>
        <v>3.5547395097003287</v>
      </c>
      <c r="H105" s="36">
        <f t="shared" si="41"/>
        <v>533210.92645504931</v>
      </c>
      <c r="I105" s="37">
        <f t="shared" si="37"/>
        <v>2.3036390544652601E-2</v>
      </c>
      <c r="J105" s="36">
        <f t="shared" si="35"/>
        <v>3133.209139015933</v>
      </c>
      <c r="K105" s="34">
        <f t="shared" si="39"/>
        <v>12.363736654735701</v>
      </c>
      <c r="L105" s="23">
        <f t="shared" si="40"/>
        <v>393.64030626450932</v>
      </c>
    </row>
    <row r="107" spans="2:12" x14ac:dyDescent="0.25">
      <c r="B107" t="s">
        <v>19</v>
      </c>
      <c r="G107" t="s">
        <v>20</v>
      </c>
      <c r="K107" s="17" t="s">
        <v>21</v>
      </c>
      <c r="L107" t="s">
        <v>22</v>
      </c>
    </row>
    <row r="108" spans="2:12" x14ac:dyDescent="0.25">
      <c r="C108" s="57">
        <f>L96+L99+L103+L102+L97</f>
        <v>707.15686093025192</v>
      </c>
      <c r="D108" s="76">
        <f>-1*L99</f>
        <v>-172.72150278674789</v>
      </c>
      <c r="E108" s="77">
        <f>-1*L103</f>
        <v>-54.239883287510885</v>
      </c>
      <c r="G108" s="80">
        <f t="array" ref="G108:I110">MINVERSE(C108:E110)</f>
        <v>1.5313385299108736E-3</v>
      </c>
      <c r="H108" s="81">
        <v>4.3196901474113733E-4</v>
      </c>
      <c r="I108" s="82">
        <v>1.5276969542867417E-4</v>
      </c>
      <c r="K108" s="89">
        <f>-1*(K96+K99-K103-K102-K97)</f>
        <v>1.4153311922360245E-4</v>
      </c>
      <c r="L108" s="75">
        <f t="array" ref="L108:L110">MMULT(G108:I110,K108:K110)</f>
        <v>2.2180516154085126E-7</v>
      </c>
    </row>
    <row r="109" spans="2:12" x14ac:dyDescent="0.25">
      <c r="C109" s="78">
        <f>-1*L99</f>
        <v>-172.72150278674789</v>
      </c>
      <c r="D109" s="44">
        <f>L98+L101+L99+L100</f>
        <v>659.36842703331081</v>
      </c>
      <c r="E109" s="21">
        <f>-1*L100</f>
        <v>-133.08685049404991</v>
      </c>
      <c r="G109" s="83">
        <v>4.3196901474113744E-4</v>
      </c>
      <c r="H109" s="84">
        <v>1.6840685914716995E-3</v>
      </c>
      <c r="I109" s="85">
        <v>2.6908233727492763E-4</v>
      </c>
      <c r="K109" s="90">
        <f>-1*(K98+K101-K100-K99)</f>
        <v>8.5165341275228457E-5</v>
      </c>
      <c r="L109" s="31">
        <v>1.4869408778729197E-7</v>
      </c>
    </row>
    <row r="110" spans="2:12" x14ac:dyDescent="0.25">
      <c r="C110" s="79">
        <f>-1*L103</f>
        <v>-54.239883287510885</v>
      </c>
      <c r="D110" s="64">
        <f>-1*L100</f>
        <v>-133.08685049404991</v>
      </c>
      <c r="E110" s="23">
        <f>L100+L105+L104+L103</f>
        <v>920.00588483578042</v>
      </c>
      <c r="G110" s="86">
        <v>1.5276969542867417E-4</v>
      </c>
      <c r="H110" s="87">
        <v>2.6908233727492763E-4</v>
      </c>
      <c r="I110" s="88">
        <v>1.1348813615771462E-3</v>
      </c>
      <c r="K110" s="91">
        <f>-1*(K100+K105-K104+K103)</f>
        <v>-2.0762459240669662E-4</v>
      </c>
      <c r="L110" s="35">
        <v>-1.9109081952539654E-7</v>
      </c>
    </row>
    <row r="111" spans="2:12" x14ac:dyDescent="0.25">
      <c r="G111" s="14"/>
      <c r="H111" s="14"/>
      <c r="I111" s="14"/>
    </row>
    <row r="112" spans="2:12" x14ac:dyDescent="0.25">
      <c r="C112" s="12"/>
      <c r="E112" s="12"/>
      <c r="G112" s="13"/>
      <c r="H112" s="2"/>
      <c r="I112" s="12"/>
    </row>
    <row r="113" spans="3:9" x14ac:dyDescent="0.25">
      <c r="C113" s="12"/>
      <c r="E113" s="12"/>
      <c r="G113" s="13"/>
      <c r="H113" s="2"/>
      <c r="I113" s="12"/>
    </row>
    <row r="114" spans="3:9" x14ac:dyDescent="0.25">
      <c r="C114" s="12"/>
      <c r="E114" s="12"/>
      <c r="G114" s="13"/>
      <c r="H114" s="2"/>
      <c r="I114" s="12"/>
    </row>
    <row r="115" spans="3:9" x14ac:dyDescent="0.25">
      <c r="C115" s="12"/>
      <c r="E115" s="12"/>
      <c r="G115" s="13"/>
      <c r="H115" s="2"/>
      <c r="I115" s="12"/>
    </row>
    <row r="116" spans="3:9" x14ac:dyDescent="0.25">
      <c r="C116" s="12"/>
      <c r="E116" s="12"/>
      <c r="G116" s="13"/>
      <c r="H116" s="2"/>
      <c r="I116" s="12"/>
    </row>
    <row r="117" spans="3:9" x14ac:dyDescent="0.25">
      <c r="C117" s="12"/>
      <c r="E117" s="12"/>
      <c r="G117" s="13"/>
      <c r="H117" s="2"/>
      <c r="I117" s="12"/>
    </row>
    <row r="118" spans="3:9" x14ac:dyDescent="0.25">
      <c r="C118" s="12"/>
      <c r="E118" s="12"/>
      <c r="G118" s="13"/>
      <c r="H118" s="2"/>
      <c r="I118" s="12"/>
    </row>
    <row r="119" spans="3:9" x14ac:dyDescent="0.25">
      <c r="C119" s="12"/>
      <c r="E119" s="12"/>
      <c r="G119" s="13"/>
      <c r="H119" s="2"/>
      <c r="I119" s="12"/>
    </row>
    <row r="120" spans="3:9" x14ac:dyDescent="0.25">
      <c r="C120" s="12"/>
      <c r="E120" s="12"/>
      <c r="G120" s="13"/>
      <c r="H120" s="2"/>
      <c r="I120" s="12"/>
    </row>
    <row r="121" spans="3:9" x14ac:dyDescent="0.25">
      <c r="C121" s="12"/>
      <c r="E121" s="12"/>
      <c r="G121" s="13"/>
      <c r="H121" s="2"/>
      <c r="I121" s="12"/>
    </row>
    <row r="124" spans="3:9" x14ac:dyDescent="0.25">
      <c r="G124" s="2"/>
    </row>
    <row r="125" spans="3:9" x14ac:dyDescent="0.25">
      <c r="G125" s="2"/>
    </row>
    <row r="126" spans="3:9" x14ac:dyDescent="0.25">
      <c r="G126" s="2"/>
    </row>
    <row r="133" spans="3:9" x14ac:dyDescent="0.25">
      <c r="G133" s="14"/>
      <c r="H133" s="14"/>
      <c r="I133" s="14"/>
    </row>
    <row r="134" spans="3:9" x14ac:dyDescent="0.25">
      <c r="C134" s="12"/>
      <c r="E134" s="12"/>
      <c r="G134" s="13"/>
      <c r="H134" s="2"/>
      <c r="I134" s="12"/>
    </row>
    <row r="135" spans="3:9" x14ac:dyDescent="0.25">
      <c r="C135" s="12"/>
      <c r="E135" s="12"/>
      <c r="G135" s="13"/>
      <c r="H135" s="2"/>
      <c r="I135" s="12"/>
    </row>
    <row r="136" spans="3:9" x14ac:dyDescent="0.25">
      <c r="C136" s="12"/>
      <c r="E136" s="12"/>
      <c r="G136" s="13"/>
      <c r="H136" s="2"/>
      <c r="I136" s="12"/>
    </row>
    <row r="137" spans="3:9" x14ac:dyDescent="0.25">
      <c r="C137" s="12"/>
      <c r="E137" s="12"/>
      <c r="G137" s="13"/>
      <c r="H137" s="2"/>
      <c r="I137" s="12"/>
    </row>
    <row r="138" spans="3:9" x14ac:dyDescent="0.25">
      <c r="C138" s="12"/>
      <c r="E138" s="12"/>
      <c r="G138" s="13"/>
      <c r="H138" s="2"/>
      <c r="I138" s="12"/>
    </row>
    <row r="139" spans="3:9" x14ac:dyDescent="0.25">
      <c r="C139" s="12"/>
      <c r="E139" s="12"/>
      <c r="G139" s="13"/>
      <c r="H139" s="2"/>
      <c r="I139" s="12"/>
    </row>
    <row r="140" spans="3:9" x14ac:dyDescent="0.25">
      <c r="C140" s="12"/>
      <c r="E140" s="12"/>
      <c r="G140" s="13"/>
      <c r="H140" s="2"/>
      <c r="I140" s="12"/>
    </row>
    <row r="141" spans="3:9" x14ac:dyDescent="0.25">
      <c r="C141" s="12"/>
      <c r="E141" s="12"/>
      <c r="G141" s="13"/>
      <c r="H141" s="2"/>
      <c r="I141" s="12"/>
    </row>
    <row r="142" spans="3:9" x14ac:dyDescent="0.25">
      <c r="C142" s="12"/>
      <c r="E142" s="12"/>
      <c r="G142" s="13"/>
      <c r="H142" s="2"/>
      <c r="I142" s="12"/>
    </row>
    <row r="143" spans="3:9" x14ac:dyDescent="0.25">
      <c r="C143" s="12"/>
      <c r="E143" s="12"/>
      <c r="G143" s="13"/>
      <c r="H143" s="2"/>
      <c r="I143" s="12"/>
    </row>
    <row r="146" spans="3:9" x14ac:dyDescent="0.25">
      <c r="G146" s="2"/>
    </row>
    <row r="147" spans="3:9" x14ac:dyDescent="0.25">
      <c r="G147" s="2"/>
    </row>
    <row r="148" spans="3:9" x14ac:dyDescent="0.25">
      <c r="G148" s="2"/>
    </row>
    <row r="155" spans="3:9" x14ac:dyDescent="0.25">
      <c r="G155" s="14"/>
      <c r="H155" s="14"/>
      <c r="I155" s="14"/>
    </row>
    <row r="156" spans="3:9" x14ac:dyDescent="0.25">
      <c r="C156" s="12"/>
      <c r="E156" s="12"/>
      <c r="G156" s="13"/>
      <c r="H156" s="2"/>
      <c r="I156" s="12"/>
    </row>
    <row r="157" spans="3:9" x14ac:dyDescent="0.25">
      <c r="C157" s="12"/>
      <c r="E157" s="12"/>
      <c r="G157" s="13"/>
      <c r="H157" s="2"/>
      <c r="I157" s="12"/>
    </row>
    <row r="158" spans="3:9" x14ac:dyDescent="0.25">
      <c r="C158" s="12"/>
      <c r="E158" s="12"/>
      <c r="G158" s="13"/>
      <c r="H158" s="2"/>
      <c r="I158" s="12"/>
    </row>
    <row r="159" spans="3:9" x14ac:dyDescent="0.25">
      <c r="C159" s="12"/>
      <c r="E159" s="12"/>
      <c r="G159" s="13"/>
      <c r="H159" s="2"/>
      <c r="I159" s="12"/>
    </row>
    <row r="160" spans="3:9" x14ac:dyDescent="0.25">
      <c r="C160" s="12"/>
      <c r="E160" s="12"/>
      <c r="G160" s="13"/>
      <c r="H160" s="2"/>
      <c r="I160" s="12"/>
    </row>
    <row r="161" spans="3:9" x14ac:dyDescent="0.25">
      <c r="C161" s="12"/>
      <c r="E161" s="12"/>
      <c r="G161" s="13"/>
      <c r="H161" s="2"/>
      <c r="I161" s="12"/>
    </row>
    <row r="162" spans="3:9" x14ac:dyDescent="0.25">
      <c r="C162" s="12"/>
      <c r="E162" s="12"/>
      <c r="G162" s="13"/>
      <c r="H162" s="2"/>
      <c r="I162" s="12"/>
    </row>
    <row r="163" spans="3:9" x14ac:dyDescent="0.25">
      <c r="C163" s="12"/>
      <c r="E163" s="12"/>
      <c r="G163" s="13"/>
      <c r="H163" s="2"/>
      <c r="I163" s="12"/>
    </row>
    <row r="164" spans="3:9" x14ac:dyDescent="0.25">
      <c r="C164" s="12"/>
      <c r="E164" s="12"/>
      <c r="G164" s="13"/>
      <c r="H164" s="2"/>
      <c r="I164" s="12"/>
    </row>
    <row r="165" spans="3:9" x14ac:dyDescent="0.25">
      <c r="C165" s="12"/>
      <c r="E165" s="12"/>
      <c r="G165" s="13"/>
      <c r="H165" s="2"/>
      <c r="I165" s="12"/>
    </row>
    <row r="168" spans="3:9" x14ac:dyDescent="0.25">
      <c r="G168" s="2"/>
    </row>
    <row r="169" spans="3:9" x14ac:dyDescent="0.25">
      <c r="G169" s="2"/>
    </row>
    <row r="170" spans="3:9" x14ac:dyDescent="0.25">
      <c r="G170" s="2"/>
    </row>
    <row r="177" spans="3:9" x14ac:dyDescent="0.25">
      <c r="G177" s="14"/>
      <c r="H177" s="14"/>
      <c r="I177" s="14"/>
    </row>
    <row r="178" spans="3:9" x14ac:dyDescent="0.25">
      <c r="C178" s="12"/>
      <c r="E178" s="12"/>
      <c r="G178" s="13"/>
      <c r="H178" s="2"/>
      <c r="I178" s="12"/>
    </row>
    <row r="179" spans="3:9" x14ac:dyDescent="0.25">
      <c r="C179" s="12"/>
      <c r="E179" s="12"/>
      <c r="G179" s="13"/>
      <c r="H179" s="2"/>
      <c r="I179" s="12"/>
    </row>
    <row r="180" spans="3:9" x14ac:dyDescent="0.25">
      <c r="C180" s="12"/>
      <c r="E180" s="12"/>
      <c r="G180" s="13"/>
      <c r="H180" s="2"/>
      <c r="I180" s="12"/>
    </row>
    <row r="181" spans="3:9" x14ac:dyDescent="0.25">
      <c r="C181" s="12"/>
      <c r="E181" s="12"/>
      <c r="G181" s="13"/>
      <c r="H181" s="2"/>
      <c r="I181" s="12"/>
    </row>
    <row r="182" spans="3:9" x14ac:dyDescent="0.25">
      <c r="C182" s="12"/>
      <c r="E182" s="12"/>
      <c r="G182" s="13"/>
      <c r="H182" s="2"/>
      <c r="I182" s="12"/>
    </row>
    <row r="183" spans="3:9" x14ac:dyDescent="0.25">
      <c r="C183" s="12"/>
      <c r="E183" s="12"/>
      <c r="G183" s="13"/>
      <c r="H183" s="2"/>
      <c r="I183" s="12"/>
    </row>
    <row r="184" spans="3:9" x14ac:dyDescent="0.25">
      <c r="C184" s="12"/>
      <c r="E184" s="12"/>
      <c r="G184" s="13"/>
      <c r="H184" s="2"/>
      <c r="I184" s="12"/>
    </row>
    <row r="185" spans="3:9" x14ac:dyDescent="0.25">
      <c r="C185" s="12"/>
      <c r="E185" s="12"/>
      <c r="G185" s="13"/>
      <c r="H185" s="2"/>
      <c r="I185" s="12"/>
    </row>
    <row r="186" spans="3:9" x14ac:dyDescent="0.25">
      <c r="C186" s="12"/>
      <c r="E186" s="12"/>
      <c r="G186" s="13"/>
      <c r="H186" s="2"/>
      <c r="I186" s="12"/>
    </row>
    <row r="187" spans="3:9" x14ac:dyDescent="0.25">
      <c r="C187" s="12"/>
      <c r="E187" s="12"/>
      <c r="G187" s="13"/>
      <c r="H187" s="2"/>
      <c r="I187" s="12"/>
    </row>
    <row r="190" spans="3:9" x14ac:dyDescent="0.25">
      <c r="G190" s="2"/>
    </row>
    <row r="191" spans="3:9" x14ac:dyDescent="0.25">
      <c r="G191" s="2"/>
    </row>
    <row r="192" spans="3:9" x14ac:dyDescent="0.25">
      <c r="G192" s="2"/>
    </row>
  </sheetData>
  <mergeCells count="1">
    <mergeCell ref="B2:K2"/>
  </mergeCells>
  <hyperlinks>
    <hyperlink ref="B3" r:id="rId1"/>
  </hyperlinks>
  <pageMargins left="0.25" right="0.25" top="0.75" bottom="0.75" header="0.3" footer="0.3"/>
  <pageSetup paperSize="9" scale="93" orientation="portrait" horizontalDpi="4294967293" verticalDpi="4294967293" r:id="rId2"/>
  <rowBreaks count="2" manualBreakCount="2">
    <brk id="38" max="16383" man="1"/>
    <brk id="74" max="11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1"/>
  <sheetViews>
    <sheetView showGridLines="0" zoomScaleNormal="100" workbookViewId="0"/>
  </sheetViews>
  <sheetFormatPr defaultRowHeight="15" x14ac:dyDescent="0.25"/>
  <cols>
    <col min="1" max="1" width="4.140625" style="16" customWidth="1"/>
    <col min="2" max="3" width="8.28515625" customWidth="1"/>
    <col min="4" max="4" width="9.7109375" customWidth="1"/>
    <col min="5" max="5" width="9.5703125" customWidth="1"/>
    <col min="6" max="6" width="8.7109375" customWidth="1"/>
    <col min="9" max="9" width="8" customWidth="1"/>
    <col min="10" max="10" width="7.7109375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3"/>
    </row>
    <row r="2" spans="1:12" ht="18.75" x14ac:dyDescent="0.25">
      <c r="A2" s="4"/>
      <c r="B2" s="109" t="s">
        <v>2</v>
      </c>
      <c r="C2" s="109"/>
      <c r="D2" s="109"/>
      <c r="E2" s="109"/>
      <c r="F2" s="109"/>
      <c r="G2" s="109"/>
      <c r="H2" s="109"/>
      <c r="I2" s="109"/>
      <c r="J2" s="109"/>
      <c r="K2" s="109"/>
    </row>
    <row r="3" spans="1:12" x14ac:dyDescent="0.25">
      <c r="A3" s="5"/>
      <c r="B3" s="110" t="s">
        <v>40</v>
      </c>
      <c r="C3" s="6"/>
      <c r="D3" s="6"/>
      <c r="E3" s="6"/>
      <c r="J3" s="7" t="s">
        <v>0</v>
      </c>
      <c r="K3" s="8" t="s">
        <v>42</v>
      </c>
      <c r="L3" s="9"/>
    </row>
    <row r="4" spans="1:12" x14ac:dyDescent="0.25">
      <c r="A4" s="5"/>
      <c r="B4" s="10" t="s">
        <v>41</v>
      </c>
      <c r="C4" s="6"/>
      <c r="D4" s="6"/>
      <c r="E4" s="6"/>
      <c r="J4" s="7" t="s">
        <v>1</v>
      </c>
      <c r="K4" s="11" t="s">
        <v>43</v>
      </c>
      <c r="L4" s="11"/>
    </row>
    <row r="6" spans="1:12" x14ac:dyDescent="0.25">
      <c r="B6" t="s">
        <v>24</v>
      </c>
    </row>
    <row r="7" spans="1:12" x14ac:dyDescent="0.25">
      <c r="B7" t="s">
        <v>26</v>
      </c>
    </row>
    <row r="8" spans="1:12" ht="15.75" thickBot="1" x14ac:dyDescent="0.3">
      <c r="B8" t="s">
        <v>27</v>
      </c>
    </row>
    <row r="9" spans="1:12" x14ac:dyDescent="0.25">
      <c r="I9" s="101" t="s">
        <v>3</v>
      </c>
      <c r="J9" s="101" t="s">
        <v>6</v>
      </c>
      <c r="K9" s="101" t="s">
        <v>8</v>
      </c>
      <c r="L9" s="101" t="s">
        <v>14</v>
      </c>
    </row>
    <row r="10" spans="1:12" ht="15.75" thickBot="1" x14ac:dyDescent="0.3">
      <c r="I10" s="102"/>
      <c r="J10" s="102" t="s">
        <v>7</v>
      </c>
      <c r="K10" s="102" t="s">
        <v>7</v>
      </c>
      <c r="L10" s="102"/>
    </row>
    <row r="11" spans="1:12" x14ac:dyDescent="0.25">
      <c r="I11" s="93">
        <v>1</v>
      </c>
      <c r="J11" s="94">
        <v>1000</v>
      </c>
      <c r="K11" s="95">
        <v>0.4</v>
      </c>
      <c r="L11" s="96">
        <v>8.7000000000000001E-4</v>
      </c>
    </row>
    <row r="12" spans="1:12" x14ac:dyDescent="0.25">
      <c r="I12" s="93">
        <v>2</v>
      </c>
      <c r="J12" s="94">
        <v>2000</v>
      </c>
      <c r="K12" s="95">
        <v>0.45</v>
      </c>
      <c r="L12" s="96">
        <v>1.0399999999999999E-3</v>
      </c>
    </row>
    <row r="13" spans="1:12" x14ac:dyDescent="0.25">
      <c r="I13" s="93">
        <v>3</v>
      </c>
      <c r="J13" s="94">
        <v>1000</v>
      </c>
      <c r="K13" s="95">
        <v>0.3</v>
      </c>
      <c r="L13" s="96">
        <v>1.2999999999999999E-3</v>
      </c>
    </row>
    <row r="14" spans="1:12" x14ac:dyDescent="0.25">
      <c r="I14" s="93">
        <v>4</v>
      </c>
      <c r="J14" s="94">
        <v>2000</v>
      </c>
      <c r="K14" s="95">
        <v>0.3</v>
      </c>
      <c r="L14" s="96">
        <v>1.2999999999999999E-3</v>
      </c>
    </row>
    <row r="15" spans="1:12" x14ac:dyDescent="0.25">
      <c r="I15" s="93">
        <v>5</v>
      </c>
      <c r="J15" s="94">
        <v>1000</v>
      </c>
      <c r="K15" s="95">
        <v>0.4</v>
      </c>
      <c r="L15" s="96">
        <v>1.2999999999999999E-3</v>
      </c>
    </row>
    <row r="16" spans="1:12" x14ac:dyDescent="0.25">
      <c r="I16" s="93">
        <v>6</v>
      </c>
      <c r="J16" s="94">
        <v>750</v>
      </c>
      <c r="K16" s="95">
        <v>0.3</v>
      </c>
      <c r="L16" s="96">
        <v>1.2999999999999999E-3</v>
      </c>
    </row>
    <row r="17" spans="1:12" x14ac:dyDescent="0.25">
      <c r="I17" s="93">
        <v>7</v>
      </c>
      <c r="J17" s="94">
        <v>2200</v>
      </c>
      <c r="K17" s="95">
        <v>0.3</v>
      </c>
      <c r="L17" s="96">
        <v>1.2999999999999999E-3</v>
      </c>
    </row>
    <row r="18" spans="1:12" x14ac:dyDescent="0.25">
      <c r="I18" s="93">
        <v>8</v>
      </c>
      <c r="J18" s="94">
        <v>2000</v>
      </c>
      <c r="K18" s="95">
        <v>0.3</v>
      </c>
      <c r="L18" s="96">
        <v>1.73E-3</v>
      </c>
    </row>
    <row r="19" spans="1:12" x14ac:dyDescent="0.25">
      <c r="I19" s="93">
        <v>9</v>
      </c>
      <c r="J19" s="94">
        <v>500</v>
      </c>
      <c r="K19" s="95">
        <v>0.25</v>
      </c>
      <c r="L19" s="96">
        <v>1.2999999999999999E-3</v>
      </c>
    </row>
    <row r="20" spans="1:12" ht="15.75" thickBot="1" x14ac:dyDescent="0.3">
      <c r="I20" s="97">
        <v>10</v>
      </c>
      <c r="J20" s="98">
        <v>2200</v>
      </c>
      <c r="K20" s="99">
        <v>0.25</v>
      </c>
      <c r="L20" s="100">
        <v>1.73E-3</v>
      </c>
    </row>
    <row r="21" spans="1:12" x14ac:dyDescent="0.25">
      <c r="A21" s="15" t="s">
        <v>25</v>
      </c>
    </row>
    <row r="22" spans="1:12" x14ac:dyDescent="0.25">
      <c r="A22" s="16">
        <v>1</v>
      </c>
      <c r="B22" s="18" t="s">
        <v>3</v>
      </c>
      <c r="C22" s="26" t="s">
        <v>4</v>
      </c>
      <c r="D22" s="26" t="s">
        <v>6</v>
      </c>
      <c r="E22" s="26" t="s">
        <v>8</v>
      </c>
      <c r="F22" s="26" t="s">
        <v>14</v>
      </c>
      <c r="G22" s="26" t="s">
        <v>17</v>
      </c>
      <c r="H22" s="26" t="s">
        <v>15</v>
      </c>
      <c r="I22" s="26" t="s">
        <v>9</v>
      </c>
      <c r="J22" s="26"/>
      <c r="K22" s="26" t="s">
        <v>23</v>
      </c>
      <c r="L22" s="19"/>
    </row>
    <row r="23" spans="1:12" x14ac:dyDescent="0.25">
      <c r="B23" s="24"/>
      <c r="C23" s="27" t="s">
        <v>5</v>
      </c>
      <c r="D23" s="27" t="s">
        <v>7</v>
      </c>
      <c r="E23" s="27" t="s">
        <v>7</v>
      </c>
      <c r="F23" s="27"/>
      <c r="G23" s="27" t="s">
        <v>18</v>
      </c>
      <c r="H23" s="27" t="s">
        <v>16</v>
      </c>
      <c r="I23" s="27" t="s">
        <v>10</v>
      </c>
      <c r="J23" s="28" t="s">
        <v>11</v>
      </c>
      <c r="K23" s="28" t="s">
        <v>12</v>
      </c>
      <c r="L23" s="25" t="s">
        <v>13</v>
      </c>
    </row>
    <row r="24" spans="1:12" x14ac:dyDescent="0.25">
      <c r="B24" s="20">
        <v>1</v>
      </c>
      <c r="C24" s="33">
        <v>0.1</v>
      </c>
      <c r="D24" s="26">
        <f>J11</f>
        <v>1000</v>
      </c>
      <c r="E24" s="65">
        <f>K11</f>
        <v>0.4</v>
      </c>
      <c r="F24" s="75">
        <f>L11</f>
        <v>8.7000000000000001E-4</v>
      </c>
      <c r="G24" s="29">
        <f>C24/(PI()*E24^2/4)</f>
        <v>0.79577471545947664</v>
      </c>
      <c r="H24" s="32">
        <f>E24*G24*1000/0.001</f>
        <v>318309.88618379069</v>
      </c>
      <c r="I24" s="33">
        <f>IF(H24&lt;=2100,64/H24,0.25*(LOG10(F24/3.7+5.74/H24^0.9))^-2)</f>
        <v>2.0130025757482645E-2</v>
      </c>
      <c r="J24" s="32">
        <f>8*I24*D24/(9.81*PI()^2*E24^5)</f>
        <v>162.42976208101487</v>
      </c>
      <c r="K24" s="29">
        <f>J24*C24^2</f>
        <v>1.6242976208101489</v>
      </c>
      <c r="L24" s="21">
        <f>2*K24/C24</f>
        <v>32.485952416202977</v>
      </c>
    </row>
    <row r="25" spans="1:12" x14ac:dyDescent="0.25">
      <c r="B25" s="20">
        <v>2</v>
      </c>
      <c r="C25" s="33">
        <v>0.2</v>
      </c>
      <c r="D25" s="30">
        <f t="shared" ref="D25:F25" si="0">J12</f>
        <v>2000</v>
      </c>
      <c r="E25" s="29">
        <f t="shared" si="0"/>
        <v>0.45</v>
      </c>
      <c r="F25" s="31">
        <f t="shared" si="0"/>
        <v>1.0399999999999999E-3</v>
      </c>
      <c r="G25" s="29">
        <f t="shared" ref="G25:G33" si="1">C25/(PI()*E25^2/4)</f>
        <v>1.2575205380100372</v>
      </c>
      <c r="H25" s="32">
        <f t="shared" ref="H25:H33" si="2">E25*G25*1000/0.001</f>
        <v>565884.24210451671</v>
      </c>
      <c r="I25" s="33">
        <f t="shared" ref="I25:I33" si="3">IF(H25&lt;=2100,64/H25,0.25*(LOG10(F25/3.7+5.74/H25^0.9))^-2)</f>
        <v>2.0456068880342675E-2</v>
      </c>
      <c r="J25" s="32">
        <f t="shared" ref="J25:J33" si="4">8*I25*D25/(9.81*PI()^2*E25^5)</f>
        <v>183.19382828643742</v>
      </c>
      <c r="K25" s="29">
        <f t="shared" ref="K25:K33" si="5">J25*C25^2</f>
        <v>7.3277531314574986</v>
      </c>
      <c r="L25" s="21">
        <f t="shared" ref="L25:L32" si="6">2*K25/C25</f>
        <v>73.277531314574986</v>
      </c>
    </row>
    <row r="26" spans="1:12" x14ac:dyDescent="0.25">
      <c r="B26" s="20">
        <v>3</v>
      </c>
      <c r="C26" s="33">
        <v>0.03</v>
      </c>
      <c r="D26" s="30">
        <f t="shared" ref="D26:F26" si="7">J13</f>
        <v>1000</v>
      </c>
      <c r="E26" s="29">
        <f t="shared" si="7"/>
        <v>0.3</v>
      </c>
      <c r="F26" s="31">
        <f t="shared" si="7"/>
        <v>1.2999999999999999E-3</v>
      </c>
      <c r="G26" s="29">
        <f t="shared" si="1"/>
        <v>0.42441318157838753</v>
      </c>
      <c r="H26" s="32">
        <f t="shared" si="2"/>
        <v>127323.95447351623</v>
      </c>
      <c r="I26" s="33">
        <f t="shared" si="3"/>
        <v>2.2911057049518079E-2</v>
      </c>
      <c r="J26" s="32">
        <f t="shared" si="4"/>
        <v>779.0405922416611</v>
      </c>
      <c r="K26" s="29">
        <f t="shared" si="5"/>
        <v>0.70113653301749501</v>
      </c>
      <c r="L26" s="21">
        <f t="shared" si="6"/>
        <v>46.74243553449967</v>
      </c>
    </row>
    <row r="27" spans="1:12" x14ac:dyDescent="0.25">
      <c r="B27" s="20">
        <v>4</v>
      </c>
      <c r="C27" s="33">
        <v>0.03</v>
      </c>
      <c r="D27" s="30">
        <f t="shared" ref="D27:F27" si="8">J14</f>
        <v>2000</v>
      </c>
      <c r="E27" s="29">
        <f t="shared" si="8"/>
        <v>0.3</v>
      </c>
      <c r="F27" s="31">
        <f t="shared" si="8"/>
        <v>1.2999999999999999E-3</v>
      </c>
      <c r="G27" s="29">
        <f t="shared" si="1"/>
        <v>0.42441318157838753</v>
      </c>
      <c r="H27" s="32">
        <f t="shared" si="2"/>
        <v>127323.95447351623</v>
      </c>
      <c r="I27" s="33">
        <f t="shared" si="3"/>
        <v>2.2911057049518079E-2</v>
      </c>
      <c r="J27" s="32">
        <f>8*I27*D27/(9.81*PI()^2*E27^5)</f>
        <v>1558.0811844833222</v>
      </c>
      <c r="K27" s="29">
        <f>J27*C27^2</f>
        <v>1.40227306603499</v>
      </c>
      <c r="L27" s="21">
        <f>2*K27/C27</f>
        <v>93.48487106899934</v>
      </c>
    </row>
    <row r="28" spans="1:12" x14ac:dyDescent="0.25">
      <c r="B28" s="20">
        <v>5</v>
      </c>
      <c r="C28" s="33">
        <v>7.0000000000000007E-2</v>
      </c>
      <c r="D28" s="30">
        <f t="shared" ref="D28:F28" si="9">J15</f>
        <v>1000</v>
      </c>
      <c r="E28" s="29">
        <f t="shared" si="9"/>
        <v>0.4</v>
      </c>
      <c r="F28" s="31">
        <f t="shared" si="9"/>
        <v>1.2999999999999999E-3</v>
      </c>
      <c r="G28" s="29">
        <f t="shared" si="1"/>
        <v>0.55704230082163375</v>
      </c>
      <c r="H28" s="32">
        <f t="shared" si="2"/>
        <v>222816.9203286535</v>
      </c>
      <c r="I28" s="33">
        <f t="shared" si="3"/>
        <v>2.2184767083559022E-2</v>
      </c>
      <c r="J28" s="32">
        <f t="shared" si="4"/>
        <v>179.00952947691869</v>
      </c>
      <c r="K28" s="29">
        <f t="shared" si="5"/>
        <v>0.87714669443690174</v>
      </c>
      <c r="L28" s="21">
        <f t="shared" si="6"/>
        <v>25.061334126768617</v>
      </c>
    </row>
    <row r="29" spans="1:12" x14ac:dyDescent="0.25">
      <c r="B29" s="20">
        <v>6</v>
      </c>
      <c r="C29" s="33">
        <v>0.08</v>
      </c>
      <c r="D29" s="30">
        <f t="shared" ref="D29:F29" si="10">J16</f>
        <v>750</v>
      </c>
      <c r="E29" s="29">
        <f t="shared" si="10"/>
        <v>0.3</v>
      </c>
      <c r="F29" s="31">
        <f t="shared" si="10"/>
        <v>1.2999999999999999E-3</v>
      </c>
      <c r="G29" s="29">
        <f t="shared" si="1"/>
        <v>1.1317684842090334</v>
      </c>
      <c r="H29" s="32">
        <f t="shared" si="2"/>
        <v>339530.54526271007</v>
      </c>
      <c r="I29" s="33">
        <f t="shared" si="3"/>
        <v>2.1813842780183529E-2</v>
      </c>
      <c r="J29" s="32">
        <f t="shared" si="4"/>
        <v>556.29915814703054</v>
      </c>
      <c r="K29" s="29">
        <f t="shared" si="5"/>
        <v>3.5603146121409956</v>
      </c>
      <c r="L29" s="21">
        <f t="shared" si="6"/>
        <v>89.007865303524895</v>
      </c>
    </row>
    <row r="30" spans="1:12" x14ac:dyDescent="0.25">
      <c r="B30" s="20">
        <v>7</v>
      </c>
      <c r="C30" s="33">
        <v>0.02</v>
      </c>
      <c r="D30" s="30">
        <f t="shared" ref="D30:F30" si="11">J17</f>
        <v>2200</v>
      </c>
      <c r="E30" s="29">
        <f t="shared" si="11"/>
        <v>0.3</v>
      </c>
      <c r="F30" s="31">
        <f t="shared" si="11"/>
        <v>1.2999999999999999E-3</v>
      </c>
      <c r="G30" s="29">
        <f t="shared" si="1"/>
        <v>0.28294212105225836</v>
      </c>
      <c r="H30" s="32">
        <f t="shared" si="2"/>
        <v>84882.636315677519</v>
      </c>
      <c r="I30" s="33">
        <f t="shared" si="3"/>
        <v>2.3661614356611876E-2</v>
      </c>
      <c r="J30" s="32">
        <f t="shared" si="4"/>
        <v>1770.0356490860459</v>
      </c>
      <c r="K30" s="29">
        <f t="shared" si="5"/>
        <v>0.70801425963441833</v>
      </c>
      <c r="L30" s="21">
        <f t="shared" si="6"/>
        <v>70.801425963441829</v>
      </c>
    </row>
    <row r="31" spans="1:12" x14ac:dyDescent="0.25">
      <c r="B31" s="20">
        <v>8</v>
      </c>
      <c r="C31" s="33">
        <v>0.17</v>
      </c>
      <c r="D31" s="30">
        <f t="shared" ref="D31:F31" si="12">J18</f>
        <v>2000</v>
      </c>
      <c r="E31" s="29">
        <f t="shared" si="12"/>
        <v>0.3</v>
      </c>
      <c r="F31" s="31">
        <f t="shared" si="12"/>
        <v>1.73E-3</v>
      </c>
      <c r="G31" s="29">
        <f t="shared" si="1"/>
        <v>2.4050080289441964</v>
      </c>
      <c r="H31" s="32">
        <f t="shared" si="2"/>
        <v>721502.40868325881</v>
      </c>
      <c r="I31" s="33">
        <f t="shared" si="3"/>
        <v>2.2921031238146299E-2</v>
      </c>
      <c r="J31" s="32">
        <f>8*I31*D31/(9.81*PI()^2*E31^5)</f>
        <v>1558.7594856022331</v>
      </c>
      <c r="K31" s="29">
        <f>J31*C31^2</f>
        <v>45.048149133904545</v>
      </c>
      <c r="L31" s="21">
        <f>2*K31/C31</f>
        <v>529.9782251047593</v>
      </c>
    </row>
    <row r="32" spans="1:12" x14ac:dyDescent="0.25">
      <c r="B32" s="20">
        <v>9</v>
      </c>
      <c r="C32" s="33">
        <v>0.02</v>
      </c>
      <c r="D32" s="30">
        <f t="shared" ref="D32:F32" si="13">J19</f>
        <v>500</v>
      </c>
      <c r="E32" s="29">
        <f t="shared" si="13"/>
        <v>0.25</v>
      </c>
      <c r="F32" s="31">
        <f t="shared" si="13"/>
        <v>1.2999999999999999E-3</v>
      </c>
      <c r="G32" s="29">
        <f t="shared" si="1"/>
        <v>0.40743665431525211</v>
      </c>
      <c r="H32" s="32">
        <f t="shared" si="2"/>
        <v>101859.16357881302</v>
      </c>
      <c r="I32" s="33">
        <f t="shared" si="3"/>
        <v>2.3296980679721285E-2</v>
      </c>
      <c r="J32" s="32">
        <f t="shared" si="4"/>
        <v>985.57762346516779</v>
      </c>
      <c r="K32" s="29">
        <f t="shared" si="5"/>
        <v>0.39423104938606712</v>
      </c>
      <c r="L32" s="21">
        <f t="shared" si="6"/>
        <v>39.423104938606713</v>
      </c>
    </row>
    <row r="33" spans="1:12" x14ac:dyDescent="0.25">
      <c r="B33" s="22">
        <v>10</v>
      </c>
      <c r="C33" s="37">
        <v>0.02</v>
      </c>
      <c r="D33" s="27">
        <f t="shared" ref="D33:F33" si="14">J20</f>
        <v>2200</v>
      </c>
      <c r="E33" s="34">
        <f t="shared" si="14"/>
        <v>0.25</v>
      </c>
      <c r="F33" s="35">
        <f t="shared" si="14"/>
        <v>1.73E-3</v>
      </c>
      <c r="G33" s="34">
        <f t="shared" si="1"/>
        <v>0.40743665431525211</v>
      </c>
      <c r="H33" s="36">
        <f t="shared" si="2"/>
        <v>101859.16357881302</v>
      </c>
      <c r="I33" s="37">
        <f t="shared" si="3"/>
        <v>2.4571963452832239E-2</v>
      </c>
      <c r="J33" s="36">
        <f t="shared" si="4"/>
        <v>4573.8691110775471</v>
      </c>
      <c r="K33" s="34">
        <f t="shared" si="5"/>
        <v>1.829547644431019</v>
      </c>
      <c r="L33" s="23">
        <f>2*K33/C33</f>
        <v>182.95476444310191</v>
      </c>
    </row>
    <row r="35" spans="1:12" x14ac:dyDescent="0.25">
      <c r="B35" t="s">
        <v>19</v>
      </c>
      <c r="G35" t="s">
        <v>20</v>
      </c>
      <c r="K35" s="17" t="s">
        <v>21</v>
      </c>
      <c r="L35" t="s">
        <v>22</v>
      </c>
    </row>
    <row r="36" spans="1:12" x14ac:dyDescent="0.25">
      <c r="C36" s="57">
        <f>L24+L25+L26+L27</f>
        <v>245.99079033427699</v>
      </c>
      <c r="D36" s="76">
        <f>-1*L26</f>
        <v>-46.74243553449967</v>
      </c>
      <c r="E36" s="77">
        <f>-1*L27</f>
        <v>-93.48487106899934</v>
      </c>
      <c r="G36" s="80">
        <f t="array" ref="G36:I38">MINVERSE(C36:E38)</f>
        <v>4.7200976756418978E-3</v>
      </c>
      <c r="H36" s="81">
        <v>2.7609719331412615E-4</v>
      </c>
      <c r="I36" s="82">
        <v>1.5852308585526367E-3</v>
      </c>
      <c r="K36" s="89">
        <f>-1*(K25+K26-K24-K27)</f>
        <v>-5.0023189776298551</v>
      </c>
      <c r="L36" s="75">
        <f t="array" ref="L36:L38">MMULT(G36:I38,K36:K38)</f>
        <v>-4.1823500011566844E-2</v>
      </c>
    </row>
    <row r="37" spans="1:12" x14ac:dyDescent="0.25">
      <c r="C37" s="78">
        <f>-1*L26</f>
        <v>-46.74243553449967</v>
      </c>
      <c r="D37" s="44">
        <f>L26+L31+L32+L33</f>
        <v>799.09853002096759</v>
      </c>
      <c r="E37" s="21">
        <v>0</v>
      </c>
      <c r="G37" s="83">
        <v>2.760971933141262E-4</v>
      </c>
      <c r="H37" s="84">
        <v>1.2675601533557622E-3</v>
      </c>
      <c r="I37" s="85">
        <v>9.2726426628831295E-5</v>
      </c>
      <c r="K37" s="90">
        <f>-1*(K31+K32+K33-K26)</f>
        <v>-46.570791294704129</v>
      </c>
      <c r="L37" s="31">
        <v>-6.0725582296526893E-2</v>
      </c>
    </row>
    <row r="38" spans="1:12" x14ac:dyDescent="0.25">
      <c r="C38" s="79">
        <f>-1*L27</f>
        <v>-93.48487106899934</v>
      </c>
      <c r="D38" s="64">
        <v>0</v>
      </c>
      <c r="E38" s="23">
        <f>L27+L28+L29+L30</f>
        <v>278.35549646273466</v>
      </c>
      <c r="G38" s="86">
        <v>1.5852308585526367E-3</v>
      </c>
      <c r="H38" s="87">
        <v>9.2726426628831282E-5</v>
      </c>
      <c r="I38" s="88">
        <v>4.1249234055635367E-3</v>
      </c>
      <c r="K38" s="91">
        <f>-1*(K27+K29-K30-K28)</f>
        <v>-3.3774267241046658</v>
      </c>
      <c r="L38" s="35">
        <v>-2.6179800014532437E-2</v>
      </c>
    </row>
    <row r="39" spans="1:12" x14ac:dyDescent="0.25">
      <c r="A39" s="15" t="s">
        <v>25</v>
      </c>
    </row>
    <row r="40" spans="1:12" x14ac:dyDescent="0.25">
      <c r="A40" s="16">
        <f>A22+1</f>
        <v>2</v>
      </c>
      <c r="B40" s="18" t="s">
        <v>3</v>
      </c>
      <c r="C40" s="26" t="s">
        <v>4</v>
      </c>
      <c r="D40" s="26" t="s">
        <v>6</v>
      </c>
      <c r="E40" s="26" t="s">
        <v>8</v>
      </c>
      <c r="F40" s="26" t="s">
        <v>14</v>
      </c>
      <c r="G40" s="26" t="s">
        <v>17</v>
      </c>
      <c r="H40" s="26" t="s">
        <v>15</v>
      </c>
      <c r="I40" s="26" t="s">
        <v>9</v>
      </c>
      <c r="J40" s="26"/>
      <c r="K40" s="26" t="s">
        <v>23</v>
      </c>
      <c r="L40" s="19"/>
    </row>
    <row r="41" spans="1:12" x14ac:dyDescent="0.25">
      <c r="B41" s="24"/>
      <c r="C41" s="27" t="s">
        <v>5</v>
      </c>
      <c r="D41" s="27" t="s">
        <v>7</v>
      </c>
      <c r="E41" s="27" t="s">
        <v>7</v>
      </c>
      <c r="F41" s="27"/>
      <c r="G41" s="27" t="s">
        <v>18</v>
      </c>
      <c r="H41" s="27" t="s">
        <v>16</v>
      </c>
      <c r="I41" s="27" t="s">
        <v>10</v>
      </c>
      <c r="J41" s="28" t="s">
        <v>11</v>
      </c>
      <c r="K41" s="28" t="s">
        <v>12</v>
      </c>
      <c r="L41" s="25" t="s">
        <v>13</v>
      </c>
    </row>
    <row r="42" spans="1:12" x14ac:dyDescent="0.25">
      <c r="B42" s="20">
        <v>1</v>
      </c>
      <c r="C42" s="38">
        <f>C24-L36</f>
        <v>0.14182350001156685</v>
      </c>
      <c r="D42" s="30">
        <v>1000</v>
      </c>
      <c r="E42" s="29">
        <v>0.4</v>
      </c>
      <c r="F42" s="31">
        <v>8.7000000000000001E-4</v>
      </c>
      <c r="G42" s="29">
        <f>ABS(C42/(PI()*E42^2/4))</f>
        <v>1.1285955536717169</v>
      </c>
      <c r="H42" s="32">
        <f>ABS(E42*G42*1000/0.001)</f>
        <v>451438.22146868677</v>
      </c>
      <c r="I42" s="33">
        <f>IF(H42&lt;=2100,64/H42,0.25*(LOG10(F42/3.7+5.74/H42^0.9))^-2)</f>
        <v>1.9838125276289871E-2</v>
      </c>
      <c r="J42" s="32">
        <f>8*I42*D42/(9.81*PI()^2*E42^5)</f>
        <v>160.07440862629554</v>
      </c>
      <c r="K42" s="29">
        <f>J42*C42^2*C42/ABS(C42)</f>
        <v>3.2197214729370063</v>
      </c>
      <c r="L42" s="21">
        <f>ABS(2*K42/C42)</f>
        <v>45.404625787325962</v>
      </c>
    </row>
    <row r="43" spans="1:12" x14ac:dyDescent="0.25">
      <c r="B43" s="20">
        <v>2</v>
      </c>
      <c r="C43" s="33">
        <f>C25+L36</f>
        <v>0.15817649998843317</v>
      </c>
      <c r="D43" s="30">
        <v>2000</v>
      </c>
      <c r="E43" s="29">
        <v>0.45</v>
      </c>
      <c r="F43" s="31">
        <v>1.0399999999999999E-3</v>
      </c>
      <c r="G43" s="29">
        <f t="shared" ref="G43:G51" si="15">ABS(C43/(PI()*E43^2/4))</f>
        <v>0.99455098682999554</v>
      </c>
      <c r="H43" s="32">
        <f t="shared" ref="H43:H51" si="16">ABS(E43*G43*1000/0.001)</f>
        <v>447547.94407349802</v>
      </c>
      <c r="I43" s="33">
        <f>IF(H43&lt;=2100,64/H43,0.25*(LOG10(F43/3.7+5.74/H43^0.9))^-2)</f>
        <v>2.0597611752550312E-2</v>
      </c>
      <c r="J43" s="32">
        <f t="shared" ref="J43:J51" si="17">8*I43*D43/(9.81*PI()^2*E43^5)</f>
        <v>184.46141204253692</v>
      </c>
      <c r="K43" s="29">
        <f t="shared" ref="K43:K51" si="18">J43*C43^2*C43/ABS(C43)</f>
        <v>4.6151885867381939</v>
      </c>
      <c r="L43" s="21">
        <f t="shared" ref="L43:L51" si="19">ABS(2*K43/C43)</f>
        <v>58.354921079625413</v>
      </c>
    </row>
    <row r="44" spans="1:12" x14ac:dyDescent="0.25">
      <c r="B44" s="20">
        <v>3</v>
      </c>
      <c r="C44" s="33">
        <f>C26+L36-L37</f>
        <v>4.8902082284960048E-2</v>
      </c>
      <c r="D44" s="30">
        <v>1000</v>
      </c>
      <c r="E44" s="29">
        <v>0.3</v>
      </c>
      <c r="F44" s="31">
        <v>1.2999999999999999E-3</v>
      </c>
      <c r="G44" s="29">
        <f t="shared" si="15"/>
        <v>0.69182294427893332</v>
      </c>
      <c r="H44" s="32">
        <f t="shared" si="16"/>
        <v>207546.88328367998</v>
      </c>
      <c r="I44" s="33">
        <f t="shared" ref="I44:I51" si="20">IF(H44&lt;=2100,64/H44,0.25*(LOG10(F44/3.7+5.74/H44^0.9))^-2)</f>
        <v>2.226049818760301E-2</v>
      </c>
      <c r="J44" s="32">
        <f t="shared" si="17"/>
        <v>756.91975512886461</v>
      </c>
      <c r="K44" s="29">
        <f t="shared" si="18"/>
        <v>1.8101082357360669</v>
      </c>
      <c r="L44" s="21">
        <f t="shared" si="19"/>
        <v>74.029904296847093</v>
      </c>
    </row>
    <row r="45" spans="1:12" x14ac:dyDescent="0.25">
      <c r="B45" s="20">
        <v>4</v>
      </c>
      <c r="C45" s="33">
        <f>C27-L36+L38</f>
        <v>4.5643699997034409E-2</v>
      </c>
      <c r="D45" s="30">
        <v>2000</v>
      </c>
      <c r="E45" s="29">
        <v>0.3</v>
      </c>
      <c r="F45" s="31">
        <v>1.2999999999999999E-3</v>
      </c>
      <c r="G45" s="29">
        <f t="shared" si="15"/>
        <v>0.64572626449169379</v>
      </c>
      <c r="H45" s="32">
        <f t="shared" si="16"/>
        <v>193717.87934750813</v>
      </c>
      <c r="I45" s="33">
        <f t="shared" si="20"/>
        <v>2.2338200891454961E-2</v>
      </c>
      <c r="J45" s="32">
        <f t="shared" si="17"/>
        <v>1519.1237326571386</v>
      </c>
      <c r="K45" s="29">
        <f t="shared" si="18"/>
        <v>3.1648624018711708</v>
      </c>
      <c r="L45" s="21">
        <f t="shared" si="19"/>
        <v>138.67685582355506</v>
      </c>
    </row>
    <row r="46" spans="1:12" x14ac:dyDescent="0.25">
      <c r="B46" s="20">
        <v>5</v>
      </c>
      <c r="C46" s="33">
        <f>C28-L38</f>
        <v>9.6179800014532441E-2</v>
      </c>
      <c r="D46" s="30">
        <v>1000</v>
      </c>
      <c r="E46" s="29">
        <v>0.4</v>
      </c>
      <c r="F46" s="31">
        <v>1.2999999999999999E-3</v>
      </c>
      <c r="G46" s="29">
        <f t="shared" si="15"/>
        <v>0.76537452989513921</v>
      </c>
      <c r="H46" s="32">
        <f t="shared" si="16"/>
        <v>306149.81195805571</v>
      </c>
      <c r="I46" s="33">
        <f t="shared" si="20"/>
        <v>2.1893648608652592E-2</v>
      </c>
      <c r="J46" s="32">
        <f t="shared" si="17"/>
        <v>176.66048605362039</v>
      </c>
      <c r="K46" s="29">
        <f t="shared" si="18"/>
        <v>1.63420735368662</v>
      </c>
      <c r="L46" s="21">
        <f t="shared" si="19"/>
        <v>33.982340438214614</v>
      </c>
    </row>
    <row r="47" spans="1:12" x14ac:dyDescent="0.25">
      <c r="B47" s="20">
        <v>6</v>
      </c>
      <c r="C47" s="33">
        <f>C29+L38</f>
        <v>5.3820199985467568E-2</v>
      </c>
      <c r="D47" s="30">
        <v>750</v>
      </c>
      <c r="E47" s="29">
        <v>0.3</v>
      </c>
      <c r="F47" s="31">
        <v>1.2999999999999999E-3</v>
      </c>
      <c r="G47" s="29">
        <f t="shared" si="15"/>
        <v>0.76140007696724599</v>
      </c>
      <c r="H47" s="32">
        <f t="shared" si="16"/>
        <v>228420.02309017375</v>
      </c>
      <c r="I47" s="33">
        <f t="shared" si="20"/>
        <v>2.215925874555965E-2</v>
      </c>
      <c r="J47" s="32">
        <f t="shared" si="17"/>
        <v>565.10799630936651</v>
      </c>
      <c r="K47" s="29">
        <f t="shared" si="18"/>
        <v>1.6368996920725025</v>
      </c>
      <c r="L47" s="21">
        <f t="shared" si="19"/>
        <v>60.828450749513941</v>
      </c>
    </row>
    <row r="48" spans="1:12" x14ac:dyDescent="0.25">
      <c r="B48" s="20">
        <v>7</v>
      </c>
      <c r="C48" s="33">
        <f>C30-L38</f>
        <v>4.6179800014532438E-2</v>
      </c>
      <c r="D48" s="30">
        <v>2200</v>
      </c>
      <c r="E48" s="29">
        <v>0.3</v>
      </c>
      <c r="F48" s="31">
        <v>1.2999999999999999E-3</v>
      </c>
      <c r="G48" s="29">
        <f t="shared" si="15"/>
        <v>0.65331052829404601</v>
      </c>
      <c r="H48" s="32">
        <f t="shared" si="16"/>
        <v>195993.15848821378</v>
      </c>
      <c r="I48" s="33">
        <f t="shared" si="20"/>
        <v>2.2324746742667087E-2</v>
      </c>
      <c r="J48" s="32">
        <f t="shared" si="17"/>
        <v>1670.0296520679408</v>
      </c>
      <c r="K48" s="29">
        <f t="shared" si="18"/>
        <v>3.5614616972953339</v>
      </c>
      <c r="L48" s="21">
        <f t="shared" si="19"/>
        <v>154.2432707016734</v>
      </c>
    </row>
    <row r="49" spans="1:14" x14ac:dyDescent="0.25">
      <c r="B49" s="20">
        <v>8</v>
      </c>
      <c r="C49" s="33">
        <f>C31+L37</f>
        <v>0.10927441770347313</v>
      </c>
      <c r="D49" s="30">
        <v>2000</v>
      </c>
      <c r="E49" s="29">
        <v>0.3</v>
      </c>
      <c r="F49" s="31">
        <v>1.73E-3</v>
      </c>
      <c r="G49" s="29">
        <f t="shared" si="15"/>
        <v>1.545916776088557</v>
      </c>
      <c r="H49" s="32">
        <f t="shared" si="16"/>
        <v>463775.03282656701</v>
      </c>
      <c r="I49" s="33">
        <f t="shared" si="20"/>
        <v>2.3100585799619138E-2</v>
      </c>
      <c r="J49" s="32">
        <f t="shared" si="17"/>
        <v>1570.9702091500089</v>
      </c>
      <c r="K49" s="29">
        <f t="shared" si="18"/>
        <v>18.758795601012501</v>
      </c>
      <c r="L49" s="21">
        <f t="shared" si="19"/>
        <v>343.33370966874128</v>
      </c>
      <c r="N49" s="12"/>
    </row>
    <row r="50" spans="1:14" x14ac:dyDescent="0.25">
      <c r="B50" s="20">
        <v>9</v>
      </c>
      <c r="C50" s="33">
        <f>C32+L37</f>
        <v>-4.0725582296526897E-2</v>
      </c>
      <c r="D50" s="30">
        <v>500</v>
      </c>
      <c r="E50" s="29">
        <v>0.25</v>
      </c>
      <c r="F50" s="31">
        <v>1.2999999999999999E-3</v>
      </c>
      <c r="G50" s="29">
        <f t="shared" si="15"/>
        <v>0.82965474979686893</v>
      </c>
      <c r="H50" s="32">
        <f t="shared" si="16"/>
        <v>207413.68744921722</v>
      </c>
      <c r="I50" s="33">
        <f t="shared" si="20"/>
        <v>2.2261202453447326E-2</v>
      </c>
      <c r="J50" s="32">
        <f t="shared" si="17"/>
        <v>941.75907647308316</v>
      </c>
      <c r="K50" s="29">
        <f t="shared" si="18"/>
        <v>-1.5619762270248239</v>
      </c>
      <c r="L50" s="21">
        <f t="shared" si="19"/>
        <v>76.707373544811418</v>
      </c>
    </row>
    <row r="51" spans="1:14" x14ac:dyDescent="0.25">
      <c r="B51" s="22">
        <v>10</v>
      </c>
      <c r="C51" s="37">
        <f>C33+L37</f>
        <v>-4.0725582296526897E-2</v>
      </c>
      <c r="D51" s="27">
        <v>2200</v>
      </c>
      <c r="E51" s="34">
        <v>0.25</v>
      </c>
      <c r="F51" s="35">
        <v>1.73E-3</v>
      </c>
      <c r="G51" s="34">
        <f t="shared" si="15"/>
        <v>0.82965474979686893</v>
      </c>
      <c r="H51" s="36">
        <f t="shared" si="16"/>
        <v>207413.68744921722</v>
      </c>
      <c r="I51" s="37">
        <f t="shared" si="20"/>
        <v>2.3661468691503453E-2</v>
      </c>
      <c r="J51" s="36">
        <f t="shared" si="17"/>
        <v>4404.3879919706551</v>
      </c>
      <c r="K51" s="34">
        <f t="shared" si="18"/>
        <v>-7.3049992401622381</v>
      </c>
      <c r="L51" s="23">
        <f t="shared" si="19"/>
        <v>358.74253126567146</v>
      </c>
    </row>
    <row r="53" spans="1:14" x14ac:dyDescent="0.25">
      <c r="B53" t="s">
        <v>19</v>
      </c>
      <c r="G53" t="s">
        <v>20</v>
      </c>
      <c r="K53" s="17" t="s">
        <v>21</v>
      </c>
      <c r="L53" t="s">
        <v>22</v>
      </c>
    </row>
    <row r="54" spans="1:14" x14ac:dyDescent="0.25">
      <c r="C54" s="57">
        <f>L42+L43+L44+L45</f>
        <v>316.46630698735351</v>
      </c>
      <c r="D54" s="76">
        <f>-1*L44</f>
        <v>-74.029904296847093</v>
      </c>
      <c r="E54" s="77">
        <f>-1*L45</f>
        <v>-138.67685582355506</v>
      </c>
      <c r="G54" s="80">
        <f t="array" ref="G54:I56">MINVERSE(C54:E56)</f>
        <v>3.8396487468640435E-3</v>
      </c>
      <c r="H54" s="81">
        <v>3.3330713339511573E-4</v>
      </c>
      <c r="I54" s="82">
        <v>1.3732988300823475E-3</v>
      </c>
      <c r="K54" s="89">
        <f>-1*(K43+K44-K42-K45)</f>
        <v>-4.0712947666083465E-2</v>
      </c>
      <c r="L54" s="75">
        <f t="array" ref="L54:L56">MMULT(G54:I56,K54:K56)</f>
        <v>-2.3090636809026182E-3</v>
      </c>
    </row>
    <row r="55" spans="1:14" x14ac:dyDescent="0.25">
      <c r="C55" s="78">
        <f>-1*L44</f>
        <v>-74.029904296847093</v>
      </c>
      <c r="D55" s="44">
        <f>L44+L49+L50+L51</f>
        <v>852.81351877607119</v>
      </c>
      <c r="E55" s="21">
        <v>0</v>
      </c>
      <c r="G55" s="83">
        <v>3.3330713339511573E-4</v>
      </c>
      <c r="H55" s="84">
        <v>1.2015225751314015E-3</v>
      </c>
      <c r="I55" s="85">
        <v>1.1921150254263636E-4</v>
      </c>
      <c r="K55" s="90">
        <f>-1*(K49+K50+K51-K44)</f>
        <v>-8.0817118980893703</v>
      </c>
      <c r="L55" s="31">
        <v>-9.6769709669305426E-3</v>
      </c>
    </row>
    <row r="56" spans="1:14" x14ac:dyDescent="0.25">
      <c r="C56" s="79">
        <f>-1*L45</f>
        <v>-138.67685582355506</v>
      </c>
      <c r="D56" s="64">
        <v>0</v>
      </c>
      <c r="E56" s="23">
        <f>L45+L46+L47+L48</f>
        <v>387.73091771295697</v>
      </c>
      <c r="G56" s="86">
        <v>1.3732988300823477E-3</v>
      </c>
      <c r="H56" s="87">
        <v>1.1921150254263636E-4</v>
      </c>
      <c r="I56" s="88">
        <v>3.0702858850768532E-3</v>
      </c>
      <c r="K56" s="91">
        <f>-1*(K45+K47-K48-K46)</f>
        <v>0.39390695703828049</v>
      </c>
      <c r="L56" s="35">
        <v>1.900629083412353E-4</v>
      </c>
    </row>
    <row r="57" spans="1:14" x14ac:dyDescent="0.25">
      <c r="A57" s="15" t="s">
        <v>25</v>
      </c>
    </row>
    <row r="58" spans="1:14" x14ac:dyDescent="0.25">
      <c r="A58" s="16">
        <f>A40+1</f>
        <v>3</v>
      </c>
      <c r="B58" s="18" t="s">
        <v>3</v>
      </c>
      <c r="C58" s="26" t="s">
        <v>4</v>
      </c>
      <c r="D58" s="26" t="s">
        <v>6</v>
      </c>
      <c r="E58" s="26" t="s">
        <v>8</v>
      </c>
      <c r="F58" s="26" t="s">
        <v>14</v>
      </c>
      <c r="G58" s="26" t="s">
        <v>17</v>
      </c>
      <c r="H58" s="26" t="s">
        <v>15</v>
      </c>
      <c r="I58" s="26" t="s">
        <v>9</v>
      </c>
      <c r="J58" s="26"/>
      <c r="K58" s="26" t="s">
        <v>23</v>
      </c>
      <c r="L58" s="19"/>
    </row>
    <row r="59" spans="1:14" x14ac:dyDescent="0.25">
      <c r="B59" s="24"/>
      <c r="C59" s="27" t="s">
        <v>5</v>
      </c>
      <c r="D59" s="27" t="s">
        <v>7</v>
      </c>
      <c r="E59" s="27" t="s">
        <v>7</v>
      </c>
      <c r="F59" s="27"/>
      <c r="G59" s="27" t="s">
        <v>18</v>
      </c>
      <c r="H59" s="27" t="s">
        <v>16</v>
      </c>
      <c r="I59" s="27" t="s">
        <v>10</v>
      </c>
      <c r="J59" s="28" t="s">
        <v>11</v>
      </c>
      <c r="K59" s="28" t="s">
        <v>12</v>
      </c>
      <c r="L59" s="25" t="s">
        <v>13</v>
      </c>
    </row>
    <row r="60" spans="1:14" x14ac:dyDescent="0.25">
      <c r="B60" s="20">
        <v>1</v>
      </c>
      <c r="C60" s="38">
        <f>C42-L54</f>
        <v>0.14413256369246946</v>
      </c>
      <c r="D60" s="30">
        <v>1000</v>
      </c>
      <c r="E60" s="29">
        <v>0.4</v>
      </c>
      <c r="F60" s="31">
        <v>8.7000000000000001E-4</v>
      </c>
      <c r="G60" s="29">
        <f>ABS(C60/(PI()*E60^2/4))</f>
        <v>1.1469704986081979</v>
      </c>
      <c r="H60" s="32">
        <f>ABS(E60*G60*1000/0.001)</f>
        <v>458788.19944327918</v>
      </c>
      <c r="I60" s="33">
        <f>IF(H60&lt;=2100,64/H60,0.25*(LOG10(F60/3.7+5.74/H60^0.9))^-2)</f>
        <v>1.9826500269873076E-2</v>
      </c>
      <c r="J60" s="32">
        <f>8*I60*D60/(9.81*PI()^2*E60^5)</f>
        <v>159.98060611211997</v>
      </c>
      <c r="K60" s="29">
        <f>J60*C60^2*C60/ABS(C60)</f>
        <v>3.3234684542237987</v>
      </c>
      <c r="L60" s="21">
        <f>ABS(2*K60/C60)</f>
        <v>46.116829800029997</v>
      </c>
    </row>
    <row r="61" spans="1:14" x14ac:dyDescent="0.25">
      <c r="B61" s="20">
        <v>2</v>
      </c>
      <c r="C61" s="33">
        <f>C43+L54</f>
        <v>0.15586743630753055</v>
      </c>
      <c r="D61" s="30">
        <v>2000</v>
      </c>
      <c r="E61" s="29">
        <v>0.45</v>
      </c>
      <c r="F61" s="31">
        <v>1.0399999999999999E-3</v>
      </c>
      <c r="G61" s="29">
        <f t="shared" ref="G61:G69" si="21">ABS(C61/(PI()*E61^2/4))</f>
        <v>0.98003251181845508</v>
      </c>
      <c r="H61" s="32">
        <f t="shared" ref="H61:H69" si="22">ABS(E61*G61*1000/0.001)</f>
        <v>441014.63031830481</v>
      </c>
      <c r="I61" s="33">
        <f>IF(H61&lt;=2100,64/H61,0.25*(LOG10(F61/3.7+5.74/H61^0.9))^-2)</f>
        <v>2.0607427787018871E-2</v>
      </c>
      <c r="J61" s="32">
        <f t="shared" ref="J61:J69" si="23">8*I61*D61/(9.81*PI()^2*E61^5)</f>
        <v>184.54931930093571</v>
      </c>
      <c r="K61" s="29">
        <f t="shared" ref="K61:K69" si="24">J61*C61^2*C61/ABS(C61)</f>
        <v>4.483562541383936</v>
      </c>
      <c r="L61" s="21">
        <f t="shared" ref="L61:L69" si="25">ABS(2*K61/C61)</f>
        <v>57.530458543473429</v>
      </c>
    </row>
    <row r="62" spans="1:14" x14ac:dyDescent="0.25">
      <c r="B62" s="20">
        <v>3</v>
      </c>
      <c r="C62" s="33">
        <f>C44+L54-L55</f>
        <v>5.6269989570987972E-2</v>
      </c>
      <c r="D62" s="30">
        <v>1000</v>
      </c>
      <c r="E62" s="29">
        <v>0.3</v>
      </c>
      <c r="F62" s="31">
        <v>1.2999999999999999E-3</v>
      </c>
      <c r="G62" s="29">
        <f t="shared" si="21"/>
        <v>0.79605751004018976</v>
      </c>
      <c r="H62" s="32">
        <f t="shared" si="22"/>
        <v>238817.2530120569</v>
      </c>
      <c r="I62" s="33">
        <f t="shared" ref="I62:I69" si="26">IF(H62&lt;=2100,64/H62,0.25*(LOG10(F62/3.7+5.74/H62^0.9))^-2)</f>
        <v>2.2114777299928001E-2</v>
      </c>
      <c r="J62" s="32">
        <f t="shared" si="23"/>
        <v>751.96483373911997</v>
      </c>
      <c r="K62" s="29">
        <f t="shared" si="24"/>
        <v>2.3809550708477643</v>
      </c>
      <c r="L62" s="21">
        <f t="shared" si="25"/>
        <v>84.626106704499975</v>
      </c>
    </row>
    <row r="63" spans="1:14" x14ac:dyDescent="0.25">
      <c r="B63" s="20">
        <v>4</v>
      </c>
      <c r="C63" s="33">
        <f>C45-L54+L56</f>
        <v>4.8142826586278262E-2</v>
      </c>
      <c r="D63" s="30">
        <v>2000</v>
      </c>
      <c r="E63" s="29">
        <v>0.3</v>
      </c>
      <c r="F63" s="31">
        <v>1.2999999999999999E-3</v>
      </c>
      <c r="G63" s="29">
        <f t="shared" si="21"/>
        <v>0.68108167338863135</v>
      </c>
      <c r="H63" s="32">
        <f t="shared" si="22"/>
        <v>204324.50201658937</v>
      </c>
      <c r="I63" s="33">
        <f t="shared" si="26"/>
        <v>2.2277765799655909E-2</v>
      </c>
      <c r="J63" s="32">
        <f t="shared" si="23"/>
        <v>1515.0138053320436</v>
      </c>
      <c r="K63" s="29">
        <f t="shared" si="24"/>
        <v>3.5113956009068592</v>
      </c>
      <c r="L63" s="21">
        <f t="shared" si="25"/>
        <v>145.87409381183622</v>
      </c>
    </row>
    <row r="64" spans="1:14" x14ac:dyDescent="0.25">
      <c r="B64" s="20">
        <v>5</v>
      </c>
      <c r="C64" s="33">
        <f>C46-L56</f>
        <v>9.59897371061912E-2</v>
      </c>
      <c r="D64" s="30">
        <v>1000</v>
      </c>
      <c r="E64" s="29">
        <v>0.4</v>
      </c>
      <c r="F64" s="31">
        <v>1.2999999999999999E-3</v>
      </c>
      <c r="G64" s="29">
        <f t="shared" si="21"/>
        <v>0.76386205732709267</v>
      </c>
      <c r="H64" s="32">
        <f t="shared" si="22"/>
        <v>305544.82293083705</v>
      </c>
      <c r="I64" s="33">
        <f t="shared" si="26"/>
        <v>2.189524046591133E-2</v>
      </c>
      <c r="J64" s="32">
        <f t="shared" si="23"/>
        <v>176.67333079604242</v>
      </c>
      <c r="K64" s="29">
        <f t="shared" si="24"/>
        <v>1.6278733047352982</v>
      </c>
      <c r="L64" s="21">
        <f t="shared" si="25"/>
        <v>33.917653153574534</v>
      </c>
    </row>
    <row r="65" spans="1:12" x14ac:dyDescent="0.25">
      <c r="B65" s="20">
        <v>6</v>
      </c>
      <c r="C65" s="33">
        <f>C47+L56</f>
        <v>5.4010262893808801E-2</v>
      </c>
      <c r="D65" s="30">
        <v>750</v>
      </c>
      <c r="E65" s="29">
        <v>0.3</v>
      </c>
      <c r="F65" s="31">
        <v>1.2999999999999999E-3</v>
      </c>
      <c r="G65" s="29">
        <f t="shared" si="21"/>
        <v>0.76408891708821747</v>
      </c>
      <c r="H65" s="32">
        <f t="shared" si="22"/>
        <v>229226.67512646521</v>
      </c>
      <c r="I65" s="33">
        <f t="shared" si="26"/>
        <v>2.215567848032414E-2</v>
      </c>
      <c r="J65" s="32">
        <f t="shared" si="23"/>
        <v>565.01669196851628</v>
      </c>
      <c r="K65" s="29">
        <f t="shared" si="24"/>
        <v>1.6482149935731667</v>
      </c>
      <c r="L65" s="21">
        <f t="shared" si="25"/>
        <v>61.033400145219495</v>
      </c>
    </row>
    <row r="66" spans="1:12" x14ac:dyDescent="0.25">
      <c r="B66" s="20">
        <v>7</v>
      </c>
      <c r="C66" s="33">
        <f>C48-L56</f>
        <v>4.5989737106191204E-2</v>
      </c>
      <c r="D66" s="30">
        <v>2200</v>
      </c>
      <c r="E66" s="29">
        <v>0.3</v>
      </c>
      <c r="F66" s="31">
        <v>1.2999999999999999E-3</v>
      </c>
      <c r="G66" s="29">
        <f t="shared" si="21"/>
        <v>0.65062168817307453</v>
      </c>
      <c r="H66" s="32">
        <f t="shared" si="22"/>
        <v>195186.50645192235</v>
      </c>
      <c r="I66" s="33">
        <f t="shared" si="26"/>
        <v>2.2329484703853986E-2</v>
      </c>
      <c r="J66" s="32">
        <f t="shared" si="23"/>
        <v>1670.3840809787666</v>
      </c>
      <c r="K66" s="29">
        <f t="shared" si="24"/>
        <v>3.5329557376388414</v>
      </c>
      <c r="L66" s="21">
        <f t="shared" si="25"/>
        <v>153.64104950116055</v>
      </c>
    </row>
    <row r="67" spans="1:12" x14ac:dyDescent="0.25">
      <c r="B67" s="20">
        <v>8</v>
      </c>
      <c r="C67" s="33">
        <f>C49+L55</f>
        <v>9.9597446736542583E-2</v>
      </c>
      <c r="D67" s="30">
        <v>2000</v>
      </c>
      <c r="E67" s="29">
        <v>0.3</v>
      </c>
      <c r="F67" s="31">
        <v>1.73E-3</v>
      </c>
      <c r="G67" s="29">
        <f t="shared" si="21"/>
        <v>1.4090156415513344</v>
      </c>
      <c r="H67" s="32">
        <f t="shared" si="22"/>
        <v>422704.69246540032</v>
      </c>
      <c r="I67" s="33">
        <f t="shared" si="26"/>
        <v>2.3147673758813617E-2</v>
      </c>
      <c r="J67" s="32">
        <f t="shared" si="23"/>
        <v>1574.1724561296253</v>
      </c>
      <c r="K67" s="29">
        <f t="shared" si="24"/>
        <v>15.61524200268116</v>
      </c>
      <c r="L67" s="21">
        <f t="shared" si="25"/>
        <v>313.56711470700554</v>
      </c>
    </row>
    <row r="68" spans="1:12" x14ac:dyDescent="0.25">
      <c r="B68" s="20">
        <v>9</v>
      </c>
      <c r="C68" s="33">
        <f>C50+L55</f>
        <v>-5.0402553263457439E-2</v>
      </c>
      <c r="D68" s="30">
        <v>500</v>
      </c>
      <c r="E68" s="29">
        <v>0.25</v>
      </c>
      <c r="F68" s="31">
        <v>1.2999999999999999E-3</v>
      </c>
      <c r="G68" s="29">
        <f t="shared" si="21"/>
        <v>1.0267923835304695</v>
      </c>
      <c r="H68" s="32">
        <f t="shared" si="22"/>
        <v>256698.0958826174</v>
      </c>
      <c r="I68" s="33">
        <f t="shared" si="26"/>
        <v>2.2045892331281059E-2</v>
      </c>
      <c r="J68" s="32">
        <f t="shared" si="23"/>
        <v>932.65039232941922</v>
      </c>
      <c r="K68" s="29">
        <f t="shared" si="24"/>
        <v>-2.3693212619178516</v>
      </c>
      <c r="L68" s="21">
        <f t="shared" si="25"/>
        <v>94.015922151136053</v>
      </c>
    </row>
    <row r="69" spans="1:12" x14ac:dyDescent="0.25">
      <c r="B69" s="22">
        <v>10</v>
      </c>
      <c r="C69" s="37">
        <f>C51+L55</f>
        <v>-5.0402553263457439E-2</v>
      </c>
      <c r="D69" s="27">
        <v>2200</v>
      </c>
      <c r="E69" s="34">
        <v>0.25</v>
      </c>
      <c r="F69" s="35">
        <v>1.73E-3</v>
      </c>
      <c r="G69" s="34">
        <f t="shared" si="21"/>
        <v>1.0267923835304695</v>
      </c>
      <c r="H69" s="36">
        <f t="shared" si="22"/>
        <v>256698.0958826174</v>
      </c>
      <c r="I69" s="37">
        <f t="shared" si="26"/>
        <v>2.3474824875914194E-2</v>
      </c>
      <c r="J69" s="36">
        <f t="shared" si="23"/>
        <v>4369.6457791826506</v>
      </c>
      <c r="K69" s="34">
        <f t="shared" si="24"/>
        <v>-11.100724062109503</v>
      </c>
      <c r="L69" s="23">
        <f t="shared" si="25"/>
        <v>440.48260825539109</v>
      </c>
    </row>
    <row r="71" spans="1:12" x14ac:dyDescent="0.25">
      <c r="B71" t="s">
        <v>19</v>
      </c>
      <c r="G71" t="s">
        <v>20</v>
      </c>
      <c r="K71" s="17" t="s">
        <v>21</v>
      </c>
      <c r="L71" t="s">
        <v>22</v>
      </c>
    </row>
    <row r="72" spans="1:12" x14ac:dyDescent="0.25">
      <c r="C72" s="57">
        <f>L60+L61+L62+L63</f>
        <v>334.14748885983965</v>
      </c>
      <c r="D72" s="76">
        <f>-1*L62</f>
        <v>-84.626106704499975</v>
      </c>
      <c r="E72" s="77">
        <f>-1*L63</f>
        <v>-145.87409381183622</v>
      </c>
      <c r="G72" s="80">
        <f t="array" ref="G72:I74">MINVERSE(C72:E74)</f>
        <v>3.6693925895006402E-3</v>
      </c>
      <c r="H72" s="81">
        <v>3.3293572953175008E-4</v>
      </c>
      <c r="I72" s="82">
        <v>1.3569459777057955E-3</v>
      </c>
      <c r="K72" s="89">
        <f>-1*(K61+K62-K60-K63)</f>
        <v>-2.9653557101042338E-2</v>
      </c>
      <c r="L72" s="75">
        <f t="array" ref="L72:L74">MMULT(G72:I74,K72:K74)</f>
        <v>-2.8664782411608991E-5</v>
      </c>
    </row>
    <row r="73" spans="1:12" x14ac:dyDescent="0.25">
      <c r="C73" s="78">
        <f>-1*L62</f>
        <v>-84.626106704499975</v>
      </c>
      <c r="D73" s="44">
        <f>L62+L67+L68+L69</f>
        <v>932.69175181803269</v>
      </c>
      <c r="E73" s="21">
        <v>0</v>
      </c>
      <c r="G73" s="83">
        <v>3.3293572953175003E-4</v>
      </c>
      <c r="H73" s="84">
        <v>1.1023739113902773E-3</v>
      </c>
      <c r="I73" s="85">
        <v>1.2312004998193285E-4</v>
      </c>
      <c r="K73" s="90">
        <f>-1*(K67+K68+K69-K62)</f>
        <v>0.23575839219395878</v>
      </c>
      <c r="L73" s="31">
        <v>2.5017118764491408E-4</v>
      </c>
    </row>
    <row r="74" spans="1:12" x14ac:dyDescent="0.25">
      <c r="C74" s="79">
        <f>-1*L63</f>
        <v>-145.87409381183622</v>
      </c>
      <c r="D74" s="64">
        <v>0</v>
      </c>
      <c r="E74" s="23">
        <f>L63+L64+L65+L66</f>
        <v>394.46619661179079</v>
      </c>
      <c r="G74" s="86">
        <v>1.3569459777057953E-3</v>
      </c>
      <c r="H74" s="87">
        <v>1.2312004998193285E-4</v>
      </c>
      <c r="I74" s="88">
        <v>3.0368717906350553E-3</v>
      </c>
      <c r="K74" s="91">
        <f>-1*(K63+K65-K66-K64)</f>
        <v>1.2184478941137389E-3</v>
      </c>
      <c r="L74" s="35">
        <v>-7.5114199643554885E-6</v>
      </c>
    </row>
    <row r="75" spans="1:12" x14ac:dyDescent="0.25">
      <c r="A75" s="15" t="s">
        <v>25</v>
      </c>
      <c r="C75" s="12"/>
      <c r="E75" s="12"/>
      <c r="G75" s="13"/>
      <c r="H75" s="2"/>
      <c r="I75" s="12"/>
    </row>
    <row r="76" spans="1:12" x14ac:dyDescent="0.25">
      <c r="A76" s="16">
        <f>A58+1</f>
        <v>4</v>
      </c>
      <c r="B76" s="18" t="s">
        <v>3</v>
      </c>
      <c r="C76" s="26" t="s">
        <v>4</v>
      </c>
      <c r="D76" s="26" t="s">
        <v>6</v>
      </c>
      <c r="E76" s="26" t="s">
        <v>8</v>
      </c>
      <c r="F76" s="26" t="s">
        <v>14</v>
      </c>
      <c r="G76" s="26" t="s">
        <v>17</v>
      </c>
      <c r="H76" s="26" t="s">
        <v>15</v>
      </c>
      <c r="I76" s="26" t="s">
        <v>9</v>
      </c>
      <c r="J76" s="26"/>
      <c r="K76" s="26" t="s">
        <v>23</v>
      </c>
      <c r="L76" s="19"/>
    </row>
    <row r="77" spans="1:12" x14ac:dyDescent="0.25">
      <c r="B77" s="24"/>
      <c r="C77" s="27" t="s">
        <v>5</v>
      </c>
      <c r="D77" s="27" t="s">
        <v>7</v>
      </c>
      <c r="E77" s="27" t="s">
        <v>7</v>
      </c>
      <c r="F77" s="27"/>
      <c r="G77" s="27" t="s">
        <v>18</v>
      </c>
      <c r="H77" s="27" t="s">
        <v>16</v>
      </c>
      <c r="I77" s="27" t="s">
        <v>10</v>
      </c>
      <c r="J77" s="28" t="s">
        <v>11</v>
      </c>
      <c r="K77" s="28" t="s">
        <v>12</v>
      </c>
      <c r="L77" s="25" t="s">
        <v>13</v>
      </c>
    </row>
    <row r="78" spans="1:12" x14ac:dyDescent="0.25">
      <c r="B78" s="20">
        <v>1</v>
      </c>
      <c r="C78" s="38">
        <f>C60-L72</f>
        <v>0.14416122847488108</v>
      </c>
      <c r="D78" s="30">
        <v>1000</v>
      </c>
      <c r="E78" s="29">
        <v>0.4</v>
      </c>
      <c r="F78" s="31">
        <v>8.7000000000000001E-4</v>
      </c>
      <c r="G78" s="29">
        <f>ABS(C78/(PI()*E78^2/4))</f>
        <v>1.147198605698871</v>
      </c>
      <c r="H78" s="32">
        <f>ABS(E78*G78*1000/0.001)</f>
        <v>458879.44227954838</v>
      </c>
      <c r="I78" s="33">
        <f>IF(H78&lt;=2100,64/H78,0.25*(LOG10(F78/3.7+5.74/H78^0.9))^-2)</f>
        <v>1.9826358071356274E-2</v>
      </c>
      <c r="J78" s="32">
        <f>8*I78*D78/(9.81*PI()^2*E78^5)</f>
        <v>159.97945870816079</v>
      </c>
      <c r="K78" s="29">
        <f>J78*C78^2*C78/ABS(C78)</f>
        <v>3.3247666686901045</v>
      </c>
      <c r="L78" s="21">
        <f>ABS(2*K78/C78)</f>
        <v>46.125670596229945</v>
      </c>
    </row>
    <row r="79" spans="1:12" x14ac:dyDescent="0.25">
      <c r="B79" s="20">
        <v>2</v>
      </c>
      <c r="C79" s="33">
        <f>C61+L72</f>
        <v>0.15583877152511894</v>
      </c>
      <c r="D79" s="30">
        <v>2000</v>
      </c>
      <c r="E79" s="29">
        <v>0.45</v>
      </c>
      <c r="F79" s="31">
        <v>1.0399999999999999E-3</v>
      </c>
      <c r="G79" s="29">
        <f t="shared" ref="G79:G87" si="27">ABS(C79/(PI()*E79^2/4))</f>
        <v>0.97985227905545413</v>
      </c>
      <c r="H79" s="32">
        <f t="shared" ref="H79:H87" si="28">ABS(E79*G79*1000/0.001)</f>
        <v>440933.52557495434</v>
      </c>
      <c r="I79" s="33">
        <f>IF(H79&lt;=2100,64/H79,0.25*(LOG10(F79/3.7+5.74/H79^0.9))^-2)</f>
        <v>2.0607551304874867E-2</v>
      </c>
      <c r="J79" s="32">
        <f t="shared" ref="J79:J87" si="29">8*I79*D79/(9.81*PI()^2*E79^5)</f>
        <v>184.55042546209668</v>
      </c>
      <c r="K79" s="29">
        <f t="shared" ref="K79:K87" si="30">J79*C79^2*C79/ABS(C79)</f>
        <v>4.4819404588695679</v>
      </c>
      <c r="L79" s="21">
        <f t="shared" ref="L79:L87" si="31">ABS(2*K79/C79)</f>
        <v>57.520223176902348</v>
      </c>
    </row>
    <row r="80" spans="1:12" x14ac:dyDescent="0.25">
      <c r="B80" s="20">
        <v>3</v>
      </c>
      <c r="C80" s="33">
        <f>C62+L72-L73</f>
        <v>5.5991153600931445E-2</v>
      </c>
      <c r="D80" s="30">
        <v>1000</v>
      </c>
      <c r="E80" s="29">
        <v>0.3</v>
      </c>
      <c r="F80" s="31">
        <v>1.2999999999999999E-3</v>
      </c>
      <c r="G80" s="29">
        <f t="shared" si="27"/>
        <v>0.79211278800051688</v>
      </c>
      <c r="H80" s="32">
        <f t="shared" si="28"/>
        <v>237633.83640015507</v>
      </c>
      <c r="I80" s="33">
        <f t="shared" ref="I80:I87" si="32">IF(H80&lt;=2100,64/H80,0.25*(LOG10(F80/3.7+5.74/H80^0.9))^-2)</f>
        <v>2.2119663949219721E-2</v>
      </c>
      <c r="J80" s="32">
        <f t="shared" si="29"/>
        <v>752.13099360464128</v>
      </c>
      <c r="K80" s="29">
        <f t="shared" si="30"/>
        <v>2.3579376459018255</v>
      </c>
      <c r="L80" s="21">
        <f t="shared" si="31"/>
        <v>84.225363981877308</v>
      </c>
    </row>
    <row r="81" spans="2:12" x14ac:dyDescent="0.25">
      <c r="B81" s="20">
        <v>4</v>
      </c>
      <c r="C81" s="33">
        <f>C63-L72+L74</f>
        <v>4.8163979948725517E-2</v>
      </c>
      <c r="D81" s="30">
        <v>2000</v>
      </c>
      <c r="E81" s="29">
        <v>0.3</v>
      </c>
      <c r="F81" s="31">
        <v>1.2999999999999999E-3</v>
      </c>
      <c r="G81" s="29">
        <f t="shared" si="27"/>
        <v>0.68138093225054197</v>
      </c>
      <c r="H81" s="32">
        <f t="shared" si="28"/>
        <v>204414.27967516257</v>
      </c>
      <c r="I81" s="33">
        <f t="shared" si="32"/>
        <v>2.2277278143601885E-2</v>
      </c>
      <c r="J81" s="32">
        <f t="shared" si="29"/>
        <v>1514.9806419681431</v>
      </c>
      <c r="K81" s="29">
        <f t="shared" si="30"/>
        <v>3.5144050750578533</v>
      </c>
      <c r="L81" s="21">
        <f t="shared" si="31"/>
        <v>145.9349945249219</v>
      </c>
    </row>
    <row r="82" spans="2:12" x14ac:dyDescent="0.25">
      <c r="B82" s="20">
        <v>5</v>
      </c>
      <c r="C82" s="33">
        <f>C64-L74</f>
        <v>9.5997248526155557E-2</v>
      </c>
      <c r="D82" s="30">
        <v>1000</v>
      </c>
      <c r="E82" s="29">
        <v>0.4</v>
      </c>
      <c r="F82" s="31">
        <v>1.2999999999999999E-3</v>
      </c>
      <c r="G82" s="29">
        <f t="shared" si="27"/>
        <v>0.763921831307941</v>
      </c>
      <c r="H82" s="32">
        <f t="shared" si="28"/>
        <v>305568.73252317635</v>
      </c>
      <c r="I82" s="33">
        <f t="shared" si="32"/>
        <v>2.1895177446201987E-2</v>
      </c>
      <c r="J82" s="32">
        <f t="shared" si="29"/>
        <v>176.67282228817871</v>
      </c>
      <c r="K82" s="29">
        <f t="shared" si="30"/>
        <v>1.6281233983006622</v>
      </c>
      <c r="L82" s="21">
        <f t="shared" si="31"/>
        <v>33.920209658031212</v>
      </c>
    </row>
    <row r="83" spans="2:12" x14ac:dyDescent="0.25">
      <c r="B83" s="20">
        <v>6</v>
      </c>
      <c r="C83" s="33">
        <f>C65+L74</f>
        <v>5.4002751473844444E-2</v>
      </c>
      <c r="D83" s="30">
        <v>750</v>
      </c>
      <c r="E83" s="29">
        <v>0.3</v>
      </c>
      <c r="F83" s="31">
        <v>1.2999999999999999E-3</v>
      </c>
      <c r="G83" s="29">
        <f t="shared" si="27"/>
        <v>0.76398265223337591</v>
      </c>
      <c r="H83" s="32">
        <f t="shared" si="28"/>
        <v>229194.79567001277</v>
      </c>
      <c r="I83" s="33">
        <f t="shared" si="32"/>
        <v>2.2155819546423542E-2</v>
      </c>
      <c r="J83" s="32">
        <f t="shared" si="29"/>
        <v>565.02028945260611</v>
      </c>
      <c r="K83" s="29">
        <f t="shared" si="30"/>
        <v>1.6477670692845319</v>
      </c>
      <c r="L83" s="21">
        <f t="shared" si="31"/>
        <v>61.025300537977486</v>
      </c>
    </row>
    <row r="84" spans="2:12" x14ac:dyDescent="0.25">
      <c r="B84" s="20">
        <v>7</v>
      </c>
      <c r="C84" s="33">
        <f>C66-L74</f>
        <v>4.5997248526155561E-2</v>
      </c>
      <c r="D84" s="30">
        <v>2200</v>
      </c>
      <c r="E84" s="29">
        <v>0.3</v>
      </c>
      <c r="F84" s="31">
        <v>1.2999999999999999E-3</v>
      </c>
      <c r="G84" s="29">
        <f t="shared" si="27"/>
        <v>0.65072795302791597</v>
      </c>
      <c r="H84" s="32">
        <f t="shared" si="28"/>
        <v>195218.38590837477</v>
      </c>
      <c r="I84" s="33">
        <f t="shared" si="32"/>
        <v>2.2329296795398492E-2</v>
      </c>
      <c r="J84" s="32">
        <f t="shared" si="29"/>
        <v>1670.370024259729</v>
      </c>
      <c r="K84" s="29">
        <f t="shared" si="30"/>
        <v>3.5340801538715336</v>
      </c>
      <c r="L84" s="21">
        <f t="shared" si="31"/>
        <v>153.66485027303051</v>
      </c>
    </row>
    <row r="85" spans="2:12" x14ac:dyDescent="0.25">
      <c r="B85" s="20">
        <v>8</v>
      </c>
      <c r="C85" s="33">
        <f>C67+L73</f>
        <v>9.9847617924187504E-2</v>
      </c>
      <c r="D85" s="30">
        <v>2000</v>
      </c>
      <c r="E85" s="29">
        <v>0.3</v>
      </c>
      <c r="F85" s="31">
        <v>1.73E-3</v>
      </c>
      <c r="G85" s="29">
        <f t="shared" si="27"/>
        <v>1.4125548398742551</v>
      </c>
      <c r="H85" s="32">
        <f t="shared" si="28"/>
        <v>423766.45196227648</v>
      </c>
      <c r="I85" s="33">
        <f t="shared" si="32"/>
        <v>2.3146350399503971E-2</v>
      </c>
      <c r="J85" s="32">
        <f t="shared" si="29"/>
        <v>1574.0824602278117</v>
      </c>
      <c r="K85" s="29">
        <f t="shared" si="30"/>
        <v>15.692888762382482</v>
      </c>
      <c r="L85" s="21">
        <f t="shared" si="31"/>
        <v>314.33676813998329</v>
      </c>
    </row>
    <row r="86" spans="2:12" x14ac:dyDescent="0.25">
      <c r="B86" s="20">
        <v>9</v>
      </c>
      <c r="C86" s="33">
        <f>C68+L73</f>
        <v>-5.0152382075812525E-2</v>
      </c>
      <c r="D86" s="30">
        <v>500</v>
      </c>
      <c r="E86" s="29">
        <v>0.25</v>
      </c>
      <c r="F86" s="31">
        <v>1.2999999999999999E-3</v>
      </c>
      <c r="G86" s="29">
        <f t="shared" si="27"/>
        <v>1.0216959379454635</v>
      </c>
      <c r="H86" s="32">
        <f t="shared" si="28"/>
        <v>255423.98448636589</v>
      </c>
      <c r="I86" s="33">
        <f t="shared" si="32"/>
        <v>2.2050513247385987E-2</v>
      </c>
      <c r="J86" s="32">
        <f t="shared" si="29"/>
        <v>932.84587995828997</v>
      </c>
      <c r="K86" s="29">
        <f t="shared" si="30"/>
        <v>-2.3463512600142602</v>
      </c>
      <c r="L86" s="21">
        <f t="shared" si="31"/>
        <v>93.568885979031407</v>
      </c>
    </row>
    <row r="87" spans="2:12" x14ac:dyDescent="0.25">
      <c r="B87" s="22">
        <v>10</v>
      </c>
      <c r="C87" s="37">
        <f>C69+L73</f>
        <v>-5.0152382075812525E-2</v>
      </c>
      <c r="D87" s="27">
        <v>2200</v>
      </c>
      <c r="E87" s="34">
        <v>0.25</v>
      </c>
      <c r="F87" s="35">
        <v>1.73E-3</v>
      </c>
      <c r="G87" s="34">
        <f t="shared" si="27"/>
        <v>1.0216959379454635</v>
      </c>
      <c r="H87" s="36">
        <f t="shared" si="28"/>
        <v>255423.98448636589</v>
      </c>
      <c r="I87" s="37">
        <f t="shared" si="32"/>
        <v>2.3478820318359631E-2</v>
      </c>
      <c r="J87" s="36">
        <f t="shared" si="29"/>
        <v>4370.3894979669212</v>
      </c>
      <c r="K87" s="34">
        <f t="shared" si="30"/>
        <v>-10.992672129040521</v>
      </c>
      <c r="L87" s="23">
        <f t="shared" si="31"/>
        <v>438.37088784431091</v>
      </c>
    </row>
    <row r="89" spans="2:12" x14ac:dyDescent="0.25">
      <c r="B89" t="s">
        <v>19</v>
      </c>
      <c r="G89" t="s">
        <v>20</v>
      </c>
      <c r="K89" s="17" t="s">
        <v>21</v>
      </c>
      <c r="L89" t="s">
        <v>22</v>
      </c>
    </row>
    <row r="90" spans="2:12" x14ac:dyDescent="0.25">
      <c r="C90" s="57">
        <f>L78+L79+L80+L81</f>
        <v>333.80625227993153</v>
      </c>
      <c r="D90" s="76">
        <f>-1*L80</f>
        <v>-84.225363981877308</v>
      </c>
      <c r="E90" s="77">
        <f>-1*L81</f>
        <v>-145.9349945249219</v>
      </c>
      <c r="G90" s="80">
        <f t="array" ref="G90:I92">MINVERSE(C90:E92)</f>
        <v>3.6737171642803909E-3</v>
      </c>
      <c r="H90" s="81">
        <v>3.3253039392077056E-4</v>
      </c>
      <c r="I90" s="82">
        <v>1.3588397061817554E-3</v>
      </c>
      <c r="K90" s="89">
        <f>-1*(K79+K80-K78-K81)</f>
        <v>-7.0636102343613061E-4</v>
      </c>
      <c r="L90" s="75">
        <f t="array" ref="L90:L92">MMULT(G90:I92,K90:K92)</f>
        <v>-1.1981380065175416E-6</v>
      </c>
    </row>
    <row r="91" spans="2:12" x14ac:dyDescent="0.25">
      <c r="C91" s="78">
        <f>-1*L80</f>
        <v>-84.225363981877308</v>
      </c>
      <c r="D91" s="44">
        <f>L80+L85+L86+L87</f>
        <v>930.50190594520291</v>
      </c>
      <c r="E91" s="21">
        <v>0</v>
      </c>
      <c r="G91" s="83">
        <v>3.3253039392077056E-4</v>
      </c>
      <c r="H91" s="84">
        <v>1.1047881652845892E-3</v>
      </c>
      <c r="I91" s="85">
        <v>1.2299681291886083E-4</v>
      </c>
      <c r="K91" s="90">
        <f>-1*(K85+K86+K87-K80)</f>
        <v>4.0722725741253463E-3</v>
      </c>
      <c r="L91" s="31">
        <v>4.267975099300612E-6</v>
      </c>
    </row>
    <row r="92" spans="2:12" x14ac:dyDescent="0.25">
      <c r="C92" s="79">
        <f>-1*L81</f>
        <v>-145.9349945249219</v>
      </c>
      <c r="D92" s="64">
        <v>0</v>
      </c>
      <c r="E92" s="23">
        <f>L81+L82+L83+L84</f>
        <v>394.54535499396115</v>
      </c>
      <c r="G92" s="86">
        <v>1.3588397061817554E-3</v>
      </c>
      <c r="H92" s="87">
        <v>1.2299681291886083E-4</v>
      </c>
      <c r="I92" s="88">
        <v>3.0371724059461351E-3</v>
      </c>
      <c r="K92" s="91">
        <f>-1*(K81+K83-K84-K82)</f>
        <v>3.1407829810703447E-5</v>
      </c>
      <c r="L92" s="35">
        <v>-3.6356386355817178E-7</v>
      </c>
    </row>
    <row r="93" spans="2:12" x14ac:dyDescent="0.25">
      <c r="C93" s="12"/>
      <c r="E93" s="12"/>
      <c r="G93" s="13"/>
      <c r="H93" s="2"/>
      <c r="I93" s="12"/>
    </row>
    <row r="94" spans="2:12" x14ac:dyDescent="0.25">
      <c r="C94" s="12"/>
      <c r="E94" s="12"/>
      <c r="G94" s="13"/>
      <c r="H94" s="2"/>
      <c r="I94" s="12"/>
    </row>
    <row r="95" spans="2:12" x14ac:dyDescent="0.25">
      <c r="C95" s="12"/>
      <c r="E95" s="12"/>
      <c r="G95" s="13"/>
      <c r="H95" s="2"/>
      <c r="I95" s="12"/>
    </row>
    <row r="96" spans="2:12" x14ac:dyDescent="0.25">
      <c r="C96" s="12"/>
      <c r="E96" s="12"/>
      <c r="G96" s="13"/>
      <c r="H96" s="2"/>
      <c r="I96" s="1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</sheetData>
  <mergeCells count="1">
    <mergeCell ref="B2:K2"/>
  </mergeCells>
  <hyperlinks>
    <hyperlink ref="B3" r:id="rId1"/>
  </hyperlinks>
  <pageMargins left="0.25" right="0.25" top="0.75" bottom="0.75" header="0.3" footer="0.3"/>
  <pageSetup paperSize="9" scale="93" orientation="portrait" horizontalDpi="4294967293" verticalDpi="4294967293" r:id="rId2"/>
  <rowBreaks count="2" manualBreakCount="2">
    <brk id="38" max="16383" man="1"/>
    <brk id="74" max="11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63"/>
  <sheetViews>
    <sheetView showGridLines="0" zoomScaleNormal="100" zoomScaleSheetLayoutView="100" workbookViewId="0"/>
  </sheetViews>
  <sheetFormatPr defaultRowHeight="15" x14ac:dyDescent="0.25"/>
  <cols>
    <col min="1" max="1" width="4.140625" style="16" customWidth="1"/>
    <col min="2" max="3" width="8.28515625" customWidth="1"/>
    <col min="4" max="4" width="9.7109375" customWidth="1"/>
    <col min="5" max="5" width="9.5703125" customWidth="1"/>
    <col min="6" max="6" width="8.7109375" customWidth="1"/>
    <col min="9" max="9" width="8" customWidth="1"/>
    <col min="10" max="10" width="7.7109375" customWidth="1"/>
    <col min="13" max="13" width="10.42578125" customWidth="1"/>
  </cols>
  <sheetData>
    <row r="1" spans="1:21" x14ac:dyDescent="0.25">
      <c r="A1" s="1"/>
      <c r="B1" s="2"/>
      <c r="C1" s="2"/>
      <c r="D1" s="2"/>
      <c r="E1" s="2"/>
      <c r="F1" s="2"/>
      <c r="G1" s="2"/>
      <c r="H1" s="3"/>
    </row>
    <row r="2" spans="1:21" ht="18.75" x14ac:dyDescent="0.25">
      <c r="A2" s="4"/>
      <c r="B2" s="109" t="s">
        <v>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</row>
    <row r="3" spans="1:21" x14ac:dyDescent="0.25">
      <c r="A3" s="5"/>
      <c r="B3" s="110" t="s">
        <v>40</v>
      </c>
      <c r="C3" s="6"/>
      <c r="D3" s="6"/>
      <c r="E3" s="6"/>
      <c r="P3" s="7" t="s">
        <v>0</v>
      </c>
      <c r="Q3" s="8" t="s">
        <v>42</v>
      </c>
      <c r="R3" s="9"/>
    </row>
    <row r="4" spans="1:21" x14ac:dyDescent="0.25">
      <c r="A4" s="5"/>
      <c r="B4" s="10" t="s">
        <v>41</v>
      </c>
      <c r="C4" s="6"/>
      <c r="D4" s="6"/>
      <c r="E4" s="6"/>
      <c r="P4" s="7" t="s">
        <v>1</v>
      </c>
      <c r="Q4" s="11" t="s">
        <v>43</v>
      </c>
      <c r="R4" s="11"/>
    </row>
    <row r="6" spans="1:21" x14ac:dyDescent="0.25">
      <c r="B6" t="s">
        <v>32</v>
      </c>
    </row>
    <row r="10" spans="1:21" ht="15.75" thickBot="1" x14ac:dyDescent="0.3"/>
    <row r="11" spans="1:21" x14ac:dyDescent="0.25">
      <c r="L11" s="101" t="s">
        <v>3</v>
      </c>
      <c r="M11" s="101" t="s">
        <v>8</v>
      </c>
      <c r="N11" s="101" t="s">
        <v>6</v>
      </c>
      <c r="O11" s="101" t="s">
        <v>29</v>
      </c>
      <c r="P11" s="54"/>
      <c r="R11" s="103"/>
      <c r="S11" s="103"/>
      <c r="T11" s="103"/>
      <c r="U11" s="103"/>
    </row>
    <row r="12" spans="1:21" ht="15.75" thickBot="1" x14ac:dyDescent="0.3">
      <c r="L12" s="102"/>
      <c r="M12" s="102" t="s">
        <v>28</v>
      </c>
      <c r="N12" s="102" t="s">
        <v>7</v>
      </c>
      <c r="O12" s="102"/>
      <c r="P12" s="54"/>
      <c r="R12" s="103"/>
      <c r="S12" s="103"/>
      <c r="T12" s="103"/>
      <c r="U12" s="103"/>
    </row>
    <row r="13" spans="1:21" x14ac:dyDescent="0.25">
      <c r="L13" s="92">
        <v>1</v>
      </c>
      <c r="M13" s="106">
        <v>1000</v>
      </c>
      <c r="N13" s="107">
        <v>1000</v>
      </c>
      <c r="O13" s="107">
        <v>100</v>
      </c>
      <c r="P13" s="55"/>
    </row>
    <row r="14" spans="1:21" x14ac:dyDescent="0.25">
      <c r="L14" s="93">
        <v>2</v>
      </c>
      <c r="M14" s="94">
        <v>750</v>
      </c>
      <c r="N14" s="104">
        <v>925</v>
      </c>
      <c r="O14" s="104">
        <v>100</v>
      </c>
      <c r="P14" s="55"/>
    </row>
    <row r="15" spans="1:21" x14ac:dyDescent="0.25">
      <c r="L15" s="93">
        <v>3</v>
      </c>
      <c r="M15" s="94">
        <v>750</v>
      </c>
      <c r="N15" s="104">
        <v>1000</v>
      </c>
      <c r="O15" s="104">
        <v>100</v>
      </c>
      <c r="P15" s="55"/>
    </row>
    <row r="16" spans="1:21" x14ac:dyDescent="0.25">
      <c r="L16" s="93">
        <v>4</v>
      </c>
      <c r="M16" s="94">
        <v>750</v>
      </c>
      <c r="N16" s="104">
        <v>925</v>
      </c>
      <c r="O16" s="104">
        <v>100</v>
      </c>
      <c r="P16" s="55"/>
    </row>
    <row r="17" spans="12:16" x14ac:dyDescent="0.25">
      <c r="L17" s="93">
        <v>5</v>
      </c>
      <c r="M17" s="94">
        <v>500</v>
      </c>
      <c r="N17" s="104">
        <v>350</v>
      </c>
      <c r="O17" s="104">
        <v>100</v>
      </c>
      <c r="P17" s="55"/>
    </row>
    <row r="18" spans="12:16" x14ac:dyDescent="0.25">
      <c r="L18" s="93">
        <v>6</v>
      </c>
      <c r="M18" s="94">
        <v>500</v>
      </c>
      <c r="N18" s="104">
        <v>671</v>
      </c>
      <c r="O18" s="104">
        <v>100</v>
      </c>
      <c r="P18" s="55"/>
    </row>
    <row r="19" spans="12:16" x14ac:dyDescent="0.25">
      <c r="L19" s="93">
        <v>7</v>
      </c>
      <c r="M19" s="94">
        <v>500</v>
      </c>
      <c r="N19" s="104">
        <v>400</v>
      </c>
      <c r="O19" s="104">
        <v>100</v>
      </c>
      <c r="P19" s="55"/>
    </row>
    <row r="20" spans="12:16" x14ac:dyDescent="0.25">
      <c r="L20" s="93">
        <v>8</v>
      </c>
      <c r="M20" s="94">
        <v>500</v>
      </c>
      <c r="N20" s="104">
        <v>650</v>
      </c>
      <c r="O20" s="104">
        <v>100</v>
      </c>
      <c r="P20" s="55"/>
    </row>
    <row r="21" spans="12:16" x14ac:dyDescent="0.25">
      <c r="L21" s="93">
        <v>9</v>
      </c>
      <c r="M21" s="94">
        <v>750</v>
      </c>
      <c r="N21" s="104">
        <v>1000</v>
      </c>
      <c r="O21" s="104">
        <v>120</v>
      </c>
      <c r="P21" s="55"/>
    </row>
    <row r="22" spans="12:16" x14ac:dyDescent="0.25">
      <c r="L22" s="93">
        <v>10</v>
      </c>
      <c r="M22" s="94">
        <v>1000</v>
      </c>
      <c r="N22" s="104">
        <v>1000</v>
      </c>
      <c r="O22" s="104">
        <v>120</v>
      </c>
      <c r="P22" s="55"/>
    </row>
    <row r="23" spans="12:16" x14ac:dyDescent="0.25">
      <c r="L23" s="93">
        <v>11</v>
      </c>
      <c r="M23" s="94">
        <v>1000</v>
      </c>
      <c r="N23" s="104">
        <v>925</v>
      </c>
      <c r="O23" s="104">
        <v>120</v>
      </c>
      <c r="P23" s="55"/>
    </row>
    <row r="24" spans="12:16" x14ac:dyDescent="0.25">
      <c r="L24" s="93">
        <v>12</v>
      </c>
      <c r="M24" s="94">
        <v>1000</v>
      </c>
      <c r="N24" s="104">
        <v>800</v>
      </c>
      <c r="O24" s="104">
        <v>120</v>
      </c>
      <c r="P24" s="55"/>
    </row>
    <row r="25" spans="12:16" x14ac:dyDescent="0.25">
      <c r="L25" s="93">
        <v>13</v>
      </c>
      <c r="M25" s="94">
        <v>750</v>
      </c>
      <c r="N25" s="104">
        <v>763</v>
      </c>
      <c r="O25" s="104">
        <v>120</v>
      </c>
      <c r="P25" s="55"/>
    </row>
    <row r="26" spans="12:16" x14ac:dyDescent="0.25">
      <c r="L26" s="93">
        <v>14</v>
      </c>
      <c r="M26" s="94">
        <v>1000</v>
      </c>
      <c r="N26" s="104">
        <v>650</v>
      </c>
      <c r="O26" s="104">
        <v>120</v>
      </c>
      <c r="P26" s="55"/>
    </row>
    <row r="27" spans="12:16" x14ac:dyDescent="0.25">
      <c r="L27" s="93">
        <v>15</v>
      </c>
      <c r="M27" s="94">
        <v>750</v>
      </c>
      <c r="N27" s="104">
        <v>400</v>
      </c>
      <c r="O27" s="104">
        <v>120</v>
      </c>
      <c r="P27" s="55"/>
    </row>
    <row r="28" spans="12:16" x14ac:dyDescent="0.25">
      <c r="L28" s="93">
        <v>16</v>
      </c>
      <c r="M28" s="94">
        <v>750</v>
      </c>
      <c r="N28" s="104">
        <v>125</v>
      </c>
      <c r="O28" s="104">
        <v>120</v>
      </c>
      <c r="P28" s="55"/>
    </row>
    <row r="29" spans="12:16" x14ac:dyDescent="0.25">
      <c r="L29" s="93">
        <v>17</v>
      </c>
      <c r="M29" s="94">
        <v>750</v>
      </c>
      <c r="N29" s="104">
        <v>400</v>
      </c>
      <c r="O29" s="104">
        <v>120</v>
      </c>
      <c r="P29" s="55"/>
    </row>
    <row r="30" spans="12:16" x14ac:dyDescent="0.25">
      <c r="L30" s="93">
        <v>18</v>
      </c>
      <c r="M30" s="94">
        <v>500</v>
      </c>
      <c r="N30" s="104">
        <v>125</v>
      </c>
      <c r="O30" s="104">
        <v>120</v>
      </c>
      <c r="P30" s="55"/>
    </row>
    <row r="31" spans="12:16" x14ac:dyDescent="0.25">
      <c r="L31" s="93">
        <v>19</v>
      </c>
      <c r="M31" s="94">
        <v>500</v>
      </c>
      <c r="N31" s="104">
        <v>800</v>
      </c>
      <c r="O31" s="104">
        <v>120</v>
      </c>
      <c r="P31" s="55"/>
    </row>
    <row r="32" spans="12:16" x14ac:dyDescent="0.25">
      <c r="L32" s="93">
        <v>20</v>
      </c>
      <c r="M32" s="94">
        <v>500</v>
      </c>
      <c r="N32" s="104">
        <v>125</v>
      </c>
      <c r="O32" s="104">
        <v>120</v>
      </c>
      <c r="P32" s="55"/>
    </row>
    <row r="33" spans="1:18" x14ac:dyDescent="0.25">
      <c r="L33" s="93">
        <v>21</v>
      </c>
      <c r="M33" s="94">
        <v>500</v>
      </c>
      <c r="N33" s="104">
        <v>800</v>
      </c>
      <c r="O33" s="104">
        <v>120</v>
      </c>
      <c r="P33" s="55"/>
    </row>
    <row r="34" spans="1:18" ht="15.75" thickBot="1" x14ac:dyDescent="0.3">
      <c r="L34" s="97">
        <v>22</v>
      </c>
      <c r="M34" s="98">
        <v>500</v>
      </c>
      <c r="N34" s="105">
        <v>1000</v>
      </c>
      <c r="O34" s="105">
        <v>120</v>
      </c>
      <c r="P34" s="55"/>
    </row>
    <row r="35" spans="1:18" x14ac:dyDescent="0.25">
      <c r="A35" s="15" t="s">
        <v>25</v>
      </c>
    </row>
    <row r="36" spans="1:18" x14ac:dyDescent="0.25">
      <c r="A36" s="16">
        <v>1</v>
      </c>
      <c r="B36" s="18" t="s">
        <v>3</v>
      </c>
      <c r="C36" s="26" t="s">
        <v>4</v>
      </c>
      <c r="D36" s="26" t="s">
        <v>8</v>
      </c>
      <c r="E36" s="26" t="s">
        <v>6</v>
      </c>
      <c r="F36" s="26" t="s">
        <v>29</v>
      </c>
      <c r="G36" s="26" t="s">
        <v>23</v>
      </c>
      <c r="H36" s="19"/>
    </row>
    <row r="37" spans="1:18" x14ac:dyDescent="0.25">
      <c r="B37" s="24"/>
      <c r="C37" s="27" t="s">
        <v>5</v>
      </c>
      <c r="D37" s="27" t="s">
        <v>28</v>
      </c>
      <c r="E37" s="27" t="s">
        <v>7</v>
      </c>
      <c r="F37" s="27"/>
      <c r="G37" s="27" t="s">
        <v>30</v>
      </c>
      <c r="H37" s="50" t="s">
        <v>13</v>
      </c>
      <c r="J37" t="s">
        <v>19</v>
      </c>
      <c r="R37" t="s">
        <v>21</v>
      </c>
    </row>
    <row r="38" spans="1:18" x14ac:dyDescent="0.25">
      <c r="B38" s="47">
        <v>1</v>
      </c>
      <c r="C38" s="33">
        <v>1</v>
      </c>
      <c r="D38" s="108">
        <f>M13</f>
        <v>1000</v>
      </c>
      <c r="E38" s="108">
        <f>N13</f>
        <v>1000</v>
      </c>
      <c r="F38" s="108">
        <f>O13</f>
        <v>100</v>
      </c>
      <c r="G38" s="29">
        <f>10.67*E38*ABS(C38)^1.85/(F38^1.85*(D38/1000)^4.87)*C38/ABS(C38)</f>
        <v>2.1289448900717907</v>
      </c>
      <c r="H38" s="21">
        <f>ABS(G38*1.85/C38)</f>
        <v>3.9385480466328131</v>
      </c>
      <c r="J38" s="57">
        <f>H38+H39+H40+H41</f>
        <v>127.22352533418723</v>
      </c>
      <c r="K38" s="58">
        <f>-1*H39</f>
        <v>-67.820047665599915</v>
      </c>
      <c r="L38" s="58">
        <f>-1*H40</f>
        <v>-40.676245666992322</v>
      </c>
      <c r="M38" s="59">
        <v>0</v>
      </c>
      <c r="N38" s="59">
        <v>0</v>
      </c>
      <c r="O38" s="59">
        <v>0</v>
      </c>
      <c r="P38" s="19">
        <v>0</v>
      </c>
      <c r="R38" s="65">
        <f>-1*(G38+G39+G40-G41)</f>
        <v>-280.0534524790524</v>
      </c>
    </row>
    <row r="39" spans="1:18" x14ac:dyDescent="0.25">
      <c r="B39" s="47">
        <v>2</v>
      </c>
      <c r="C39" s="33">
        <v>6</v>
      </c>
      <c r="D39" s="32">
        <f t="shared" ref="D39:F39" si="0">M14</f>
        <v>750</v>
      </c>
      <c r="E39" s="32">
        <f t="shared" si="0"/>
        <v>925</v>
      </c>
      <c r="F39" s="32">
        <f t="shared" si="0"/>
        <v>100</v>
      </c>
      <c r="G39" s="29">
        <f t="shared" ref="G39:G59" si="1">10.67*E39*ABS(C39)^1.85/(F39^1.85*(D39/1000)^4.87)*C39/ABS(C39)</f>
        <v>219.95691134789158</v>
      </c>
      <c r="H39" s="21">
        <f t="shared" ref="H39:H59" si="2">ABS(G39*1.85/C39)</f>
        <v>67.820047665599915</v>
      </c>
      <c r="J39" s="60">
        <f>K38</f>
        <v>-67.820047665599915</v>
      </c>
      <c r="K39" s="44">
        <f>H39+H46+H47+H48</f>
        <v>104.04525368196599</v>
      </c>
      <c r="L39" s="41">
        <v>0</v>
      </c>
      <c r="M39" s="44">
        <f>-1*H46</f>
        <v>-11.410442582007452</v>
      </c>
      <c r="N39" s="41">
        <v>0</v>
      </c>
      <c r="O39" s="41">
        <v>0</v>
      </c>
      <c r="P39" s="61">
        <v>0</v>
      </c>
      <c r="R39" s="29">
        <f>-1*(G48-G46-G39-G47)</f>
        <v>229.2603147921389</v>
      </c>
    </row>
    <row r="40" spans="1:18" x14ac:dyDescent="0.25">
      <c r="B40" s="47">
        <v>3</v>
      </c>
      <c r="C40" s="33">
        <v>3</v>
      </c>
      <c r="D40" s="32">
        <f t="shared" ref="D40:F40" si="3">M15</f>
        <v>750</v>
      </c>
      <c r="E40" s="32">
        <f t="shared" si="3"/>
        <v>1000</v>
      </c>
      <c r="F40" s="32">
        <f t="shared" si="3"/>
        <v>100</v>
      </c>
      <c r="G40" s="29">
        <f t="shared" si="1"/>
        <v>65.961479459987544</v>
      </c>
      <c r="H40" s="21">
        <f t="shared" si="2"/>
        <v>40.676245666992322</v>
      </c>
      <c r="J40" s="60">
        <f>-1*H40</f>
        <v>-40.676245666992322</v>
      </c>
      <c r="K40" s="41">
        <v>0</v>
      </c>
      <c r="L40" s="44">
        <f>H40+H42+H43+H44+H45</f>
        <v>403.46694252424061</v>
      </c>
      <c r="M40" s="62">
        <f>-1*H45</f>
        <v>-74.862716723654827</v>
      </c>
      <c r="N40" s="41">
        <v>0</v>
      </c>
      <c r="O40" s="41">
        <v>0</v>
      </c>
      <c r="P40" s="61">
        <v>0</v>
      </c>
      <c r="R40" s="29">
        <f>-1*(G45-G44-G43-G42-G40)</f>
        <v>367.30352026541141</v>
      </c>
    </row>
    <row r="41" spans="1:18" x14ac:dyDescent="0.25">
      <c r="B41" s="47">
        <v>4</v>
      </c>
      <c r="C41" s="33">
        <v>1</v>
      </c>
      <c r="D41" s="32">
        <f t="shared" ref="D41:F41" si="4">M16</f>
        <v>750</v>
      </c>
      <c r="E41" s="32">
        <f t="shared" si="4"/>
        <v>925</v>
      </c>
      <c r="F41" s="32">
        <f t="shared" si="4"/>
        <v>100</v>
      </c>
      <c r="G41" s="29">
        <f t="shared" si="1"/>
        <v>7.9938832188984783</v>
      </c>
      <c r="H41" s="21">
        <f t="shared" si="2"/>
        <v>14.788683954962185</v>
      </c>
      <c r="J41" s="54">
        <v>0</v>
      </c>
      <c r="K41" s="44">
        <f>-1*H46</f>
        <v>-11.410442582007452</v>
      </c>
      <c r="L41" s="44">
        <f>-1*H45</f>
        <v>-74.862716723654827</v>
      </c>
      <c r="M41" s="44">
        <f>H46+H49+H51+H58+H59+H45</f>
        <v>303.25227729785274</v>
      </c>
      <c r="N41" s="44">
        <f>-1*H51</f>
        <v>-5.93629113370993</v>
      </c>
      <c r="O41" s="62">
        <f>-1*H58</f>
        <v>-118.53112457489098</v>
      </c>
      <c r="P41" s="61">
        <v>0</v>
      </c>
      <c r="R41" s="29">
        <f>-1*(G46+G49+G51+G58-G59-G45)</f>
        <v>-95.692886474334529</v>
      </c>
    </row>
    <row r="42" spans="1:18" x14ac:dyDescent="0.25">
      <c r="B42" s="47">
        <v>5</v>
      </c>
      <c r="C42" s="33">
        <v>3</v>
      </c>
      <c r="D42" s="32">
        <f t="shared" ref="D42:F42" si="5">M17</f>
        <v>500</v>
      </c>
      <c r="E42" s="32">
        <f t="shared" si="5"/>
        <v>350</v>
      </c>
      <c r="F42" s="32">
        <f t="shared" si="5"/>
        <v>100</v>
      </c>
      <c r="G42" s="29">
        <f t="shared" si="1"/>
        <v>166.31172337967959</v>
      </c>
      <c r="H42" s="21">
        <f t="shared" si="2"/>
        <v>102.55889608413575</v>
      </c>
      <c r="J42" s="54">
        <v>0</v>
      </c>
      <c r="K42" s="41">
        <v>0</v>
      </c>
      <c r="L42" s="41">
        <v>0</v>
      </c>
      <c r="M42" s="44">
        <f>-1*H51</f>
        <v>-5.93629113370993</v>
      </c>
      <c r="N42" s="44">
        <f>H50+H51+H52</f>
        <v>17.174594574137309</v>
      </c>
      <c r="O42" s="41">
        <v>0</v>
      </c>
      <c r="P42" s="21">
        <f>-1*H52</f>
        <v>-2.5321357503556934</v>
      </c>
      <c r="R42" s="29">
        <f>-1*(G50-G52-G51)</f>
        <v>8.8135484972680427</v>
      </c>
    </row>
    <row r="43" spans="1:18" x14ac:dyDescent="0.25">
      <c r="B43" s="47">
        <v>6</v>
      </c>
      <c r="C43" s="33">
        <v>2</v>
      </c>
      <c r="D43" s="32">
        <f t="shared" ref="D43:F43" si="6">M18</f>
        <v>500</v>
      </c>
      <c r="E43" s="32">
        <f t="shared" si="6"/>
        <v>671</v>
      </c>
      <c r="F43" s="32">
        <f t="shared" si="6"/>
        <v>100</v>
      </c>
      <c r="G43" s="29">
        <f t="shared" si="1"/>
        <v>150.59429179656644</v>
      </c>
      <c r="H43" s="21">
        <f t="shared" si="2"/>
        <v>139.29971991182396</v>
      </c>
      <c r="J43" s="54">
        <v>0</v>
      </c>
      <c r="K43" s="41">
        <v>0</v>
      </c>
      <c r="L43" s="41">
        <v>0</v>
      </c>
      <c r="M43" s="62">
        <f>-1*H58</f>
        <v>-118.53112457489098</v>
      </c>
      <c r="N43" s="41">
        <v>0</v>
      </c>
      <c r="O43" s="44">
        <f>H55+H56+H57+H58</f>
        <v>208.51122034832866</v>
      </c>
      <c r="P43" s="21">
        <f>-1*H55</f>
        <v>-5.7003488995260687</v>
      </c>
      <c r="R43" s="29">
        <f>-1*(G55-G56-G57-G58)</f>
        <v>182.16881610203092</v>
      </c>
    </row>
    <row r="44" spans="1:18" x14ac:dyDescent="0.25">
      <c r="B44" s="47">
        <v>7</v>
      </c>
      <c r="C44" s="33">
        <v>1</v>
      </c>
      <c r="D44" s="32">
        <f t="shared" ref="D44:F44" si="7">M19</f>
        <v>500</v>
      </c>
      <c r="E44" s="32">
        <f t="shared" si="7"/>
        <v>400</v>
      </c>
      <c r="F44" s="32">
        <f t="shared" si="7"/>
        <v>100</v>
      </c>
      <c r="G44" s="29">
        <f t="shared" si="1"/>
        <v>24.902358993315534</v>
      </c>
      <c r="H44" s="21">
        <f t="shared" si="2"/>
        <v>46.069364137633741</v>
      </c>
      <c r="J44" s="24">
        <v>0</v>
      </c>
      <c r="K44" s="63">
        <v>0</v>
      </c>
      <c r="L44" s="63">
        <v>0</v>
      </c>
      <c r="M44" s="63">
        <v>0</v>
      </c>
      <c r="N44" s="64">
        <f>-1*H52</f>
        <v>-2.5321357503556934</v>
      </c>
      <c r="O44" s="64">
        <f>-1*H55</f>
        <v>-5.7003488995260687</v>
      </c>
      <c r="P44" s="23">
        <f>H52+H53+H54+H55</f>
        <v>11.555912822223611</v>
      </c>
      <c r="R44" s="34">
        <f>-1*(G52+G53-G54-G55)</f>
        <v>1.3267720209567337</v>
      </c>
    </row>
    <row r="45" spans="1:18" x14ac:dyDescent="0.25">
      <c r="A45" s="40"/>
      <c r="B45" s="47">
        <v>8</v>
      </c>
      <c r="C45" s="33">
        <v>1</v>
      </c>
      <c r="D45" s="32">
        <f t="shared" ref="D45:F45" si="8">M20</f>
        <v>500</v>
      </c>
      <c r="E45" s="32">
        <f t="shared" si="8"/>
        <v>650</v>
      </c>
      <c r="F45" s="32">
        <f t="shared" si="8"/>
        <v>100</v>
      </c>
      <c r="G45" s="29">
        <f t="shared" si="1"/>
        <v>40.466333364137746</v>
      </c>
      <c r="H45" s="21">
        <f t="shared" si="2"/>
        <v>74.862716723654827</v>
      </c>
      <c r="I45" s="41"/>
      <c r="J45" s="41"/>
      <c r="K45" s="41"/>
    </row>
    <row r="46" spans="1:18" x14ac:dyDescent="0.25">
      <c r="A46" s="42"/>
      <c r="B46" s="47">
        <v>9</v>
      </c>
      <c r="C46" s="38">
        <v>1</v>
      </c>
      <c r="D46" s="32">
        <f t="shared" ref="D46:F46" si="9">M21</f>
        <v>750</v>
      </c>
      <c r="E46" s="32">
        <f t="shared" si="9"/>
        <v>1000</v>
      </c>
      <c r="F46" s="32">
        <f t="shared" si="9"/>
        <v>120</v>
      </c>
      <c r="G46" s="29">
        <f t="shared" si="1"/>
        <v>6.167806801085109</v>
      </c>
      <c r="H46" s="21">
        <f t="shared" si="2"/>
        <v>11.410442582007452</v>
      </c>
      <c r="I46" s="41"/>
      <c r="J46" s="41" t="s">
        <v>31</v>
      </c>
      <c r="K46" s="41"/>
    </row>
    <row r="47" spans="1:18" x14ac:dyDescent="0.25">
      <c r="A47" s="42"/>
      <c r="B47" s="48">
        <v>10</v>
      </c>
      <c r="C47" s="38">
        <v>6</v>
      </c>
      <c r="D47" s="32">
        <f t="shared" ref="D47:F47" si="10">M22</f>
        <v>1000</v>
      </c>
      <c r="E47" s="32">
        <f t="shared" si="10"/>
        <v>1000</v>
      </c>
      <c r="F47" s="32">
        <f t="shared" si="10"/>
        <v>120</v>
      </c>
      <c r="G47" s="29">
        <f t="shared" si="1"/>
        <v>41.807955242162642</v>
      </c>
      <c r="H47" s="21">
        <f t="shared" si="2"/>
        <v>12.890786199666815</v>
      </c>
      <c r="I47" s="43"/>
      <c r="J47" s="66">
        <f t="array" ref="J47:P53">MINVERSE(J38:P44)</f>
        <v>1.2840060944886636E-2</v>
      </c>
      <c r="K47" s="67">
        <v>8.4667424948637326E-3</v>
      </c>
      <c r="L47" s="68">
        <v>1.4589089619062227E-3</v>
      </c>
      <c r="M47" s="68">
        <v>8.8610282676523E-4</v>
      </c>
      <c r="N47" s="68">
        <v>3.5503734589622507E-4</v>
      </c>
      <c r="O47" s="68">
        <v>5.127592256544231E-4</v>
      </c>
      <c r="P47" s="69">
        <v>3.307319207692709E-4</v>
      </c>
      <c r="Q47" s="56" t="s">
        <v>33</v>
      </c>
      <c r="R47" s="75">
        <f t="array" ref="R47:R53">MMULT(J47:P53,R38:R44)</f>
        <v>-1.1067700019636548</v>
      </c>
    </row>
    <row r="48" spans="1:18" x14ac:dyDescent="0.25">
      <c r="A48" s="42"/>
      <c r="B48" s="48">
        <v>11</v>
      </c>
      <c r="C48" s="33">
        <v>6</v>
      </c>
      <c r="D48" s="32">
        <f t="shared" ref="D48:F48" si="11">M23</f>
        <v>1000</v>
      </c>
      <c r="E48" s="32">
        <f t="shared" si="11"/>
        <v>925</v>
      </c>
      <c r="F48" s="32">
        <f t="shared" si="11"/>
        <v>120</v>
      </c>
      <c r="G48" s="29">
        <f t="shared" si="1"/>
        <v>38.672358599000439</v>
      </c>
      <c r="H48" s="21">
        <f t="shared" si="2"/>
        <v>11.923977234691803</v>
      </c>
      <c r="I48" s="45"/>
      <c r="J48" s="70">
        <v>8.4667424948637326E-3</v>
      </c>
      <c r="K48" s="46">
        <v>1.5249564861597632E-2</v>
      </c>
      <c r="L48" s="46">
        <v>1.0557172078192426E-3</v>
      </c>
      <c r="M48" s="46">
        <v>1.0893499442433288E-3</v>
      </c>
      <c r="N48" s="46">
        <v>4.3647294791761564E-4</v>
      </c>
      <c r="O48" s="46">
        <v>6.3037179998173115E-4</v>
      </c>
      <c r="P48" s="71">
        <v>4.0659254046703316E-4</v>
      </c>
      <c r="Q48" s="56" t="s">
        <v>34</v>
      </c>
      <c r="R48" s="31">
        <v>1.5277255955744156</v>
      </c>
    </row>
    <row r="49" spans="1:18" x14ac:dyDescent="0.25">
      <c r="A49" s="42"/>
      <c r="B49" s="47">
        <v>12</v>
      </c>
      <c r="C49" s="33">
        <v>6</v>
      </c>
      <c r="D49" s="32">
        <f t="shared" ref="D49:F49" si="12">M24</f>
        <v>1000</v>
      </c>
      <c r="E49" s="32">
        <f t="shared" si="12"/>
        <v>800</v>
      </c>
      <c r="F49" s="32">
        <f t="shared" si="12"/>
        <v>120</v>
      </c>
      <c r="G49" s="29">
        <f t="shared" si="1"/>
        <v>33.446364193730112</v>
      </c>
      <c r="H49" s="21">
        <f t="shared" si="2"/>
        <v>10.312628959733452</v>
      </c>
      <c r="I49" s="45"/>
      <c r="J49" s="70">
        <v>1.4589089619062225E-3</v>
      </c>
      <c r="K49" s="46">
        <v>1.0557172078192426E-3</v>
      </c>
      <c r="L49" s="46">
        <v>2.8028336452931069E-3</v>
      </c>
      <c r="M49" s="46">
        <v>9.5518550567926311E-4</v>
      </c>
      <c r="N49" s="46">
        <v>3.8271689981275692E-4</v>
      </c>
      <c r="O49" s="46">
        <v>5.5273515155842418E-4</v>
      </c>
      <c r="P49" s="71">
        <v>3.5651656607113997E-4</v>
      </c>
      <c r="Q49" s="56" t="s">
        <v>35</v>
      </c>
      <c r="R49" s="31">
        <v>0.87608499257871686</v>
      </c>
    </row>
    <row r="50" spans="1:18" x14ac:dyDescent="0.25">
      <c r="A50" s="42"/>
      <c r="B50" s="47">
        <v>13</v>
      </c>
      <c r="C50" s="33">
        <v>1</v>
      </c>
      <c r="D50" s="32">
        <f t="shared" ref="D50:F50" si="13">M25</f>
        <v>750</v>
      </c>
      <c r="E50" s="32">
        <f t="shared" si="13"/>
        <v>763</v>
      </c>
      <c r="F50" s="32">
        <f t="shared" si="13"/>
        <v>120</v>
      </c>
      <c r="G50" s="29">
        <f t="shared" si="1"/>
        <v>4.7060365892279377</v>
      </c>
      <c r="H50" s="21">
        <f t="shared" si="2"/>
        <v>8.7061676900716858</v>
      </c>
      <c r="I50" s="45"/>
      <c r="J50" s="70">
        <v>8.8610282676522989E-4</v>
      </c>
      <c r="K50" s="46">
        <v>1.0893499442433288E-3</v>
      </c>
      <c r="L50" s="46">
        <v>9.5518550567926333E-4</v>
      </c>
      <c r="M50" s="46">
        <v>4.6664408472071959E-3</v>
      </c>
      <c r="N50" s="46">
        <v>1.8697161583631063E-3</v>
      </c>
      <c r="O50" s="46">
        <v>2.7003193343949072E-3</v>
      </c>
      <c r="P50" s="71">
        <v>1.7417176629343071E-3</v>
      </c>
      <c r="Q50" s="56" t="s">
        <v>36</v>
      </c>
      <c r="R50" s="31">
        <v>0.41659003230605984</v>
      </c>
    </row>
    <row r="51" spans="1:18" x14ac:dyDescent="0.25">
      <c r="A51" s="42"/>
      <c r="B51" s="47">
        <v>14</v>
      </c>
      <c r="C51" s="33">
        <v>4</v>
      </c>
      <c r="D51" s="32">
        <f t="shared" ref="D51:F51" si="14">M26</f>
        <v>1000</v>
      </c>
      <c r="E51" s="32">
        <f t="shared" si="14"/>
        <v>650</v>
      </c>
      <c r="F51" s="32">
        <f t="shared" si="14"/>
        <v>120</v>
      </c>
      <c r="G51" s="29">
        <f t="shared" si="1"/>
        <v>12.835224072886334</v>
      </c>
      <c r="H51" s="21">
        <f t="shared" si="2"/>
        <v>5.93629113370993</v>
      </c>
      <c r="I51" s="45"/>
      <c r="J51" s="70">
        <v>3.5503734589622502E-4</v>
      </c>
      <c r="K51" s="46">
        <v>4.3647294791761558E-4</v>
      </c>
      <c r="L51" s="46">
        <v>3.8271689981275687E-4</v>
      </c>
      <c r="M51" s="46">
        <v>1.869716158363106E-3</v>
      </c>
      <c r="N51" s="46">
        <v>6.0945985400406515E-2</v>
      </c>
      <c r="O51" s="46">
        <v>1.4474763013093868E-3</v>
      </c>
      <c r="P51" s="71">
        <v>1.4068523267294913E-2</v>
      </c>
      <c r="Q51" s="56" t="s">
        <v>37</v>
      </c>
      <c r="R51" s="31">
        <v>0.781792384678205</v>
      </c>
    </row>
    <row r="52" spans="1:18" x14ac:dyDescent="0.25">
      <c r="A52" s="42"/>
      <c r="B52" s="47">
        <v>15</v>
      </c>
      <c r="C52" s="33">
        <v>0.5</v>
      </c>
      <c r="D52" s="32">
        <f t="shared" ref="D52:F52" si="15">M27</f>
        <v>750</v>
      </c>
      <c r="E52" s="32">
        <f t="shared" si="15"/>
        <v>400</v>
      </c>
      <c r="F52" s="32">
        <f t="shared" si="15"/>
        <v>120</v>
      </c>
      <c r="G52" s="29">
        <f t="shared" si="1"/>
        <v>0.68436101360964685</v>
      </c>
      <c r="H52" s="21">
        <f t="shared" si="2"/>
        <v>2.5321357503556934</v>
      </c>
      <c r="I52" s="45"/>
      <c r="J52" s="70">
        <v>5.1275922565442299E-4</v>
      </c>
      <c r="K52" s="46">
        <v>6.3037179998173126E-4</v>
      </c>
      <c r="L52" s="46">
        <v>5.5273515155842418E-4</v>
      </c>
      <c r="M52" s="46">
        <v>2.7003193343949068E-3</v>
      </c>
      <c r="N52" s="46">
        <v>1.447476301309387E-3</v>
      </c>
      <c r="O52" s="46">
        <v>6.4262721988126983E-3</v>
      </c>
      <c r="P52" s="71">
        <v>3.4871498917331736E-3</v>
      </c>
      <c r="Q52" s="56" t="s">
        <v>38</v>
      </c>
      <c r="R52" s="31">
        <v>1.1335899151926094</v>
      </c>
    </row>
    <row r="53" spans="1:18" x14ac:dyDescent="0.25">
      <c r="A53" s="42"/>
      <c r="B53" s="47">
        <v>16</v>
      </c>
      <c r="C53" s="33">
        <v>0.5</v>
      </c>
      <c r="D53" s="32">
        <f t="shared" ref="D53:F53" si="16">M28</f>
        <v>750</v>
      </c>
      <c r="E53" s="32">
        <f t="shared" si="16"/>
        <v>125</v>
      </c>
      <c r="F53" s="32">
        <f t="shared" si="16"/>
        <v>120</v>
      </c>
      <c r="G53" s="29">
        <f t="shared" si="1"/>
        <v>0.21386281675301463</v>
      </c>
      <c r="H53" s="21">
        <f t="shared" si="2"/>
        <v>0.79129242198615424</v>
      </c>
      <c r="I53" s="45"/>
      <c r="J53" s="72">
        <v>3.3073192076927079E-4</v>
      </c>
      <c r="K53" s="73">
        <v>4.0659254046703311E-4</v>
      </c>
      <c r="L53" s="73">
        <v>3.5651656607113991E-4</v>
      </c>
      <c r="M53" s="73">
        <v>1.7417176629343069E-3</v>
      </c>
      <c r="N53" s="73">
        <v>1.4068523267294911E-2</v>
      </c>
      <c r="O53" s="73">
        <v>3.4871498917331731E-3</v>
      </c>
      <c r="P53" s="74">
        <v>9.133864178498971E-2</v>
      </c>
      <c r="Q53" s="56" t="s">
        <v>39</v>
      </c>
      <c r="R53" s="35">
        <v>0.84530185052561368</v>
      </c>
    </row>
    <row r="54" spans="1:18" x14ac:dyDescent="0.25">
      <c r="A54" s="42"/>
      <c r="B54" s="47">
        <v>17</v>
      </c>
      <c r="C54" s="33">
        <v>0.5</v>
      </c>
      <c r="D54" s="32">
        <f t="shared" ref="D54:F54" si="17">M29</f>
        <v>750</v>
      </c>
      <c r="E54" s="32">
        <f t="shared" si="17"/>
        <v>400</v>
      </c>
      <c r="F54" s="32">
        <f t="shared" si="17"/>
        <v>120</v>
      </c>
      <c r="G54" s="29">
        <f t="shared" si="1"/>
        <v>0.68436101360964685</v>
      </c>
      <c r="H54" s="21">
        <f t="shared" si="2"/>
        <v>2.5321357503556934</v>
      </c>
      <c r="I54" s="45"/>
      <c r="J54" s="44"/>
      <c r="K54" s="44"/>
    </row>
    <row r="55" spans="1:18" x14ac:dyDescent="0.25">
      <c r="A55" s="42"/>
      <c r="B55" s="47">
        <v>18</v>
      </c>
      <c r="C55" s="33">
        <v>0.5</v>
      </c>
      <c r="D55" s="32">
        <f t="shared" ref="D55:F55" si="18">M30</f>
        <v>500</v>
      </c>
      <c r="E55" s="32">
        <f t="shared" si="18"/>
        <v>125</v>
      </c>
      <c r="F55" s="32">
        <f t="shared" si="18"/>
        <v>120</v>
      </c>
      <c r="G55" s="29">
        <f t="shared" si="1"/>
        <v>1.5406348377097483</v>
      </c>
      <c r="H55" s="21">
        <f t="shared" si="2"/>
        <v>5.7003488995260687</v>
      </c>
      <c r="I55" s="45"/>
      <c r="J55" s="44"/>
      <c r="K55" s="44"/>
    </row>
    <row r="56" spans="1:18" x14ac:dyDescent="0.25">
      <c r="A56" s="42"/>
      <c r="B56" s="47">
        <v>19</v>
      </c>
      <c r="C56" s="33">
        <v>1</v>
      </c>
      <c r="D56" s="32">
        <f t="shared" ref="D56:F56" si="19">M31</f>
        <v>500</v>
      </c>
      <c r="E56" s="32">
        <f t="shared" si="19"/>
        <v>800</v>
      </c>
      <c r="F56" s="32">
        <f t="shared" si="19"/>
        <v>120</v>
      </c>
      <c r="G56" s="29">
        <f t="shared" si="1"/>
        <v>35.545545221126964</v>
      </c>
      <c r="H56" s="21">
        <f t="shared" si="2"/>
        <v>65.759258659084892</v>
      </c>
      <c r="I56" s="45"/>
      <c r="J56" s="44"/>
      <c r="K56" s="44"/>
    </row>
    <row r="57" spans="1:18" x14ac:dyDescent="0.25">
      <c r="A57" s="42"/>
      <c r="B57" s="47">
        <v>20</v>
      </c>
      <c r="C57" s="33">
        <v>2</v>
      </c>
      <c r="D57" s="32">
        <f t="shared" ref="D57:F57" si="20">M32</f>
        <v>500</v>
      </c>
      <c r="E57" s="32">
        <f t="shared" si="20"/>
        <v>125</v>
      </c>
      <c r="F57" s="32">
        <f t="shared" si="20"/>
        <v>120</v>
      </c>
      <c r="G57" s="29">
        <f t="shared" si="1"/>
        <v>20.022149421434285</v>
      </c>
      <c r="H57" s="21">
        <f t="shared" si="2"/>
        <v>18.520488214826717</v>
      </c>
      <c r="I57" s="45"/>
      <c r="J57" s="44"/>
      <c r="K57" s="44"/>
    </row>
    <row r="58" spans="1:18" x14ac:dyDescent="0.25">
      <c r="B58" s="47">
        <v>21</v>
      </c>
      <c r="C58" s="38">
        <v>2</v>
      </c>
      <c r="D58" s="32">
        <f t="shared" ref="D58:F58" si="21">M33</f>
        <v>500</v>
      </c>
      <c r="E58" s="32">
        <f t="shared" si="21"/>
        <v>800</v>
      </c>
      <c r="F58" s="32">
        <f t="shared" si="21"/>
        <v>120</v>
      </c>
      <c r="G58" s="29">
        <f t="shared" si="1"/>
        <v>128.14175629717943</v>
      </c>
      <c r="H58" s="21">
        <f t="shared" si="2"/>
        <v>118.53112457489098</v>
      </c>
    </row>
    <row r="59" spans="1:18" x14ac:dyDescent="0.25">
      <c r="B59" s="49">
        <v>22</v>
      </c>
      <c r="C59" s="39">
        <v>1</v>
      </c>
      <c r="D59" s="36">
        <f t="shared" ref="D59:F59" si="22">M34</f>
        <v>500</v>
      </c>
      <c r="E59" s="36">
        <f t="shared" si="22"/>
        <v>1000</v>
      </c>
      <c r="F59" s="36">
        <f t="shared" si="22"/>
        <v>120</v>
      </c>
      <c r="G59" s="34">
        <f t="shared" si="1"/>
        <v>44.431931526408704</v>
      </c>
      <c r="H59" s="23">
        <f t="shared" si="2"/>
        <v>82.199073323856112</v>
      </c>
    </row>
    <row r="61" spans="1:18" x14ac:dyDescent="0.25">
      <c r="A61" s="15" t="s">
        <v>25</v>
      </c>
    </row>
    <row r="62" spans="1:18" x14ac:dyDescent="0.25">
      <c r="A62" s="16">
        <f>A36+1</f>
        <v>2</v>
      </c>
      <c r="B62" s="26" t="s">
        <v>3</v>
      </c>
      <c r="C62" s="26" t="s">
        <v>4</v>
      </c>
      <c r="D62" s="26" t="s">
        <v>8</v>
      </c>
      <c r="E62" s="26" t="s">
        <v>6</v>
      </c>
      <c r="F62" s="26" t="s">
        <v>29</v>
      </c>
      <c r="G62" s="26" t="s">
        <v>23</v>
      </c>
      <c r="H62" s="26"/>
    </row>
    <row r="63" spans="1:18" x14ac:dyDescent="0.25">
      <c r="B63" s="27"/>
      <c r="C63" s="27" t="s">
        <v>5</v>
      </c>
      <c r="D63" s="27" t="s">
        <v>28</v>
      </c>
      <c r="E63" s="27" t="s">
        <v>7</v>
      </c>
      <c r="F63" s="27"/>
      <c r="G63" s="27" t="s">
        <v>30</v>
      </c>
      <c r="H63" s="27" t="s">
        <v>13</v>
      </c>
      <c r="J63" t="s">
        <v>19</v>
      </c>
      <c r="R63" t="s">
        <v>21</v>
      </c>
    </row>
    <row r="64" spans="1:18" x14ac:dyDescent="0.25">
      <c r="B64" s="51">
        <v>1</v>
      </c>
      <c r="C64" s="33">
        <f>C38+R47</f>
        <v>-0.10677000196365483</v>
      </c>
      <c r="D64" s="32">
        <v>1000</v>
      </c>
      <c r="E64" s="32">
        <v>1000</v>
      </c>
      <c r="F64" s="32">
        <v>100</v>
      </c>
      <c r="G64" s="29">
        <f>10.67*E64*ABS(C64)^1.85/(F64^1.85*(D64/1000)^4.87)*C64/ABS(C64)</f>
        <v>-3.3946541392768252E-2</v>
      </c>
      <c r="H64" s="29">
        <f>ABS(G64*1.85/C64)</f>
        <v>0.58819050689911145</v>
      </c>
      <c r="J64" s="57">
        <f>H64+H65+H66+H67</f>
        <v>86.158095013395496</v>
      </c>
      <c r="K64" s="58">
        <f>-1*H65</f>
        <v>-41.487968186092758</v>
      </c>
      <c r="L64" s="58">
        <f>-1*H66</f>
        <v>-16.220462579317903</v>
      </c>
      <c r="M64" s="59">
        <v>0</v>
      </c>
      <c r="N64" s="59">
        <v>0</v>
      </c>
      <c r="O64" s="59">
        <v>0</v>
      </c>
      <c r="P64" s="19">
        <v>0</v>
      </c>
      <c r="R64" s="65">
        <f>-1*(G64+G65+G66-G67)</f>
        <v>-52.630261561333533</v>
      </c>
    </row>
    <row r="65" spans="1:18" x14ac:dyDescent="0.25">
      <c r="B65" s="51">
        <v>2</v>
      </c>
      <c r="C65" s="33">
        <f>C39+R47-R48</f>
        <v>3.3655044024619292</v>
      </c>
      <c r="D65" s="32">
        <v>750</v>
      </c>
      <c r="E65" s="32">
        <v>925</v>
      </c>
      <c r="F65" s="32">
        <v>100</v>
      </c>
      <c r="G65" s="29">
        <f t="shared" ref="G65:G85" si="23">10.67*E65*ABS(C65)^1.85/(F65^1.85*(D65/1000)^4.87)*C65/ABS(C65)</f>
        <v>75.474561934862493</v>
      </c>
      <c r="H65" s="29">
        <f t="shared" ref="H65:H85" si="24">ABS(G65*1.85/C65)</f>
        <v>41.487968186092758</v>
      </c>
      <c r="J65" s="60">
        <f>K64</f>
        <v>-41.487968186092758</v>
      </c>
      <c r="K65" s="44">
        <f>H65+H72+H73+H74</f>
        <v>67.752220710578214</v>
      </c>
      <c r="L65" s="41">
        <v>0</v>
      </c>
      <c r="M65" s="44">
        <f>-1*H72</f>
        <v>-1.7631026031520998</v>
      </c>
      <c r="N65" s="41">
        <v>0</v>
      </c>
      <c r="O65" s="41">
        <v>0</v>
      </c>
      <c r="P65" s="61">
        <v>0</v>
      </c>
      <c r="R65" s="29">
        <f>-1*(G74-G72-G65-G73)</f>
        <v>40.806734336419389</v>
      </c>
    </row>
    <row r="66" spans="1:18" x14ac:dyDescent="0.25">
      <c r="B66" s="51">
        <v>3</v>
      </c>
      <c r="C66" s="33">
        <f>C40+R47-R49</f>
        <v>1.0171450054576283</v>
      </c>
      <c r="D66" s="32">
        <v>750</v>
      </c>
      <c r="E66" s="32">
        <v>1000</v>
      </c>
      <c r="F66" s="32">
        <v>100</v>
      </c>
      <c r="G66" s="29">
        <f t="shared" si="23"/>
        <v>8.9181418912246286</v>
      </c>
      <c r="H66" s="29">
        <f t="shared" si="24"/>
        <v>16.220462579317903</v>
      </c>
      <c r="J66" s="60">
        <f>-1*H66</f>
        <v>-16.220462579317903</v>
      </c>
      <c r="K66" s="41">
        <v>0</v>
      </c>
      <c r="L66" s="44">
        <f>H66+H68+H69+H70+H71</f>
        <v>289.08473930588434</v>
      </c>
      <c r="M66" s="62">
        <f>-1*H71</f>
        <v>-103.23757463277576</v>
      </c>
      <c r="N66" s="41">
        <v>0</v>
      </c>
      <c r="O66" s="41">
        <v>0</v>
      </c>
      <c r="P66" s="61">
        <v>0</v>
      </c>
      <c r="R66" s="29">
        <f>-1*(G71-G70-G69-G68-G66)</f>
        <v>67.638157190667329</v>
      </c>
    </row>
    <row r="67" spans="1:18" x14ac:dyDescent="0.25">
      <c r="B67" s="51">
        <v>4</v>
      </c>
      <c r="C67" s="33">
        <f>C41-R47</f>
        <v>2.106770001963655</v>
      </c>
      <c r="D67" s="32">
        <v>750</v>
      </c>
      <c r="E67" s="32">
        <v>925</v>
      </c>
      <c r="F67" s="32">
        <v>100</v>
      </c>
      <c r="G67" s="29">
        <f t="shared" si="23"/>
        <v>31.728495723360815</v>
      </c>
      <c r="H67" s="29">
        <f t="shared" si="24"/>
        <v>27.861473741085732</v>
      </c>
      <c r="J67" s="54">
        <v>0</v>
      </c>
      <c r="K67" s="44">
        <f>-1*H72</f>
        <v>-1.7631026031520998</v>
      </c>
      <c r="L67" s="44">
        <f>-1*H71</f>
        <v>-103.23757463277576</v>
      </c>
      <c r="M67" s="44">
        <f>H72+H75+H77+H84+H85+H71</f>
        <v>254.65776622207295</v>
      </c>
      <c r="N67" s="44">
        <f>-1*H77</f>
        <v>-5.4723315488714288</v>
      </c>
      <c r="O67" s="62">
        <f>-1*H84</f>
        <v>-81.273619266455455</v>
      </c>
      <c r="P67" s="61">
        <v>0</v>
      </c>
      <c r="R67" s="29">
        <f>-1*(G72+G75+G77+G84-G85-G71)</f>
        <v>-7.0369495541739155</v>
      </c>
    </row>
    <row r="68" spans="1:18" x14ac:dyDescent="0.25">
      <c r="B68" s="51">
        <v>5</v>
      </c>
      <c r="C68" s="33">
        <f>C42-R49</f>
        <v>2.1239150074212834</v>
      </c>
      <c r="D68" s="32">
        <v>500</v>
      </c>
      <c r="E68" s="32">
        <v>350</v>
      </c>
      <c r="F68" s="32">
        <v>100</v>
      </c>
      <c r="G68" s="29">
        <f t="shared" si="23"/>
        <v>87.791453595241791</v>
      </c>
      <c r="H68" s="29">
        <f t="shared" si="24"/>
        <v>76.469250692093297</v>
      </c>
      <c r="J68" s="54">
        <v>0</v>
      </c>
      <c r="K68" s="41">
        <v>0</v>
      </c>
      <c r="L68" s="41">
        <v>0</v>
      </c>
      <c r="M68" s="44">
        <f>-1*H77</f>
        <v>-5.4723315488714288</v>
      </c>
      <c r="N68" s="44">
        <f>H76+H77+H78</f>
        <v>22.500474157186989</v>
      </c>
      <c r="O68" s="41">
        <v>0</v>
      </c>
      <c r="P68" s="21">
        <f>-1*H78</f>
        <v>-2.8030349614450691</v>
      </c>
      <c r="R68" s="29">
        <f>-1*(G76-G78-G77)</f>
        <v>-2.0950453522532211</v>
      </c>
    </row>
    <row r="69" spans="1:18" x14ac:dyDescent="0.25">
      <c r="B69" s="51">
        <v>6</v>
      </c>
      <c r="C69" s="33">
        <f>C43-R49</f>
        <v>1.1239150074212831</v>
      </c>
      <c r="D69" s="32">
        <v>500</v>
      </c>
      <c r="E69" s="32">
        <v>671</v>
      </c>
      <c r="F69" s="32">
        <v>100</v>
      </c>
      <c r="G69" s="29">
        <f t="shared" si="23"/>
        <v>51.85133452580186</v>
      </c>
      <c r="H69" s="29">
        <f t="shared" si="24"/>
        <v>85.348952758291063</v>
      </c>
      <c r="J69" s="54">
        <v>0</v>
      </c>
      <c r="K69" s="41">
        <v>0</v>
      </c>
      <c r="L69" s="41">
        <v>0</v>
      </c>
      <c r="M69" s="62">
        <f>-1*H84</f>
        <v>-81.273619266455455</v>
      </c>
      <c r="N69" s="41">
        <v>0</v>
      </c>
      <c r="O69" s="44">
        <f>H81+H82+H83+H84</f>
        <v>110.64456608572866</v>
      </c>
      <c r="P69" s="21">
        <f>-1*H81</f>
        <v>-8.3938101642049734</v>
      </c>
      <c r="R69" s="29">
        <f>-1*(G81-G82-G83-G84)</f>
        <v>56.18962693544151</v>
      </c>
    </row>
    <row r="70" spans="1:18" x14ac:dyDescent="0.25">
      <c r="B70" s="51">
        <v>7</v>
      </c>
      <c r="C70" s="33">
        <f>C44-R49</f>
        <v>0.12391500742128314</v>
      </c>
      <c r="D70" s="32">
        <v>500</v>
      </c>
      <c r="E70" s="32">
        <v>400</v>
      </c>
      <c r="F70" s="32">
        <v>100</v>
      </c>
      <c r="G70" s="29">
        <f t="shared" si="23"/>
        <v>0.52302171207933834</v>
      </c>
      <c r="H70" s="29">
        <f t="shared" si="24"/>
        <v>7.8084986434063399</v>
      </c>
      <c r="J70" s="24">
        <v>0</v>
      </c>
      <c r="K70" s="63">
        <v>0</v>
      </c>
      <c r="L70" s="63">
        <v>0</v>
      </c>
      <c r="M70" s="63">
        <v>0</v>
      </c>
      <c r="N70" s="64">
        <f>-1*H78</f>
        <v>-2.8030349614450691</v>
      </c>
      <c r="O70" s="64">
        <f>-1*H81</f>
        <v>-8.3938101642049734</v>
      </c>
      <c r="P70" s="23">
        <f>H78+H79+H80+H81</f>
        <v>14.880705980893069</v>
      </c>
      <c r="R70" s="34">
        <f>-1*(G78+G79-G80-G81)</f>
        <v>1.0431623224069644</v>
      </c>
    </row>
    <row r="71" spans="1:18" x14ac:dyDescent="0.25">
      <c r="A71" s="40"/>
      <c r="B71" s="51">
        <v>8</v>
      </c>
      <c r="C71" s="33">
        <f>C45+R49-R50</f>
        <v>1.459494960272657</v>
      </c>
      <c r="D71" s="32">
        <v>500</v>
      </c>
      <c r="E71" s="32">
        <v>650</v>
      </c>
      <c r="F71" s="32">
        <v>100</v>
      </c>
      <c r="G71" s="29">
        <f t="shared" si="23"/>
        <v>81.445794533680285</v>
      </c>
      <c r="H71" s="29">
        <f t="shared" si="24"/>
        <v>103.23757463277576</v>
      </c>
      <c r="I71" s="41"/>
      <c r="J71" s="41"/>
      <c r="K71" s="41"/>
    </row>
    <row r="72" spans="1:18" x14ac:dyDescent="0.25">
      <c r="A72" s="42"/>
      <c r="B72" s="51">
        <v>9</v>
      </c>
      <c r="C72" s="33">
        <f>C46-R48+R50</f>
        <v>-0.11113556326835572</v>
      </c>
      <c r="D72" s="32">
        <v>750</v>
      </c>
      <c r="E72" s="32">
        <v>1000</v>
      </c>
      <c r="F72" s="32">
        <v>120</v>
      </c>
      <c r="G72" s="29">
        <f t="shared" si="23"/>
        <v>-0.10591535183849342</v>
      </c>
      <c r="H72" s="29">
        <f t="shared" si="24"/>
        <v>1.7631026031520998</v>
      </c>
      <c r="I72" s="41"/>
      <c r="J72" s="41" t="s">
        <v>31</v>
      </c>
      <c r="K72" s="41"/>
    </row>
    <row r="73" spans="1:18" x14ac:dyDescent="0.25">
      <c r="A73" s="42"/>
      <c r="B73" s="52">
        <v>10</v>
      </c>
      <c r="C73" s="33">
        <f>C47-R48</f>
        <v>4.4722744044255842</v>
      </c>
      <c r="D73" s="32">
        <v>1000</v>
      </c>
      <c r="E73" s="32">
        <v>1000</v>
      </c>
      <c r="F73" s="32">
        <v>120</v>
      </c>
      <c r="G73" s="29">
        <f t="shared" si="23"/>
        <v>24.274859954366192</v>
      </c>
      <c r="H73" s="29">
        <f t="shared" si="24"/>
        <v>10.041532977300724</v>
      </c>
      <c r="I73" s="43"/>
      <c r="J73" s="66">
        <f t="array" ref="J73:P79">MINVERSE(J64:P70)</f>
        <v>1.6796876352120096E-2</v>
      </c>
      <c r="K73" s="67">
        <v>1.0305131174842289E-2</v>
      </c>
      <c r="L73" s="68">
        <v>1.2113041932541267E-3</v>
      </c>
      <c r="M73" s="68">
        <v>7.5279231311316263E-4</v>
      </c>
      <c r="N73" s="68">
        <v>2.2930161442237323E-4</v>
      </c>
      <c r="O73" s="68">
        <v>5.8110472007701043E-4</v>
      </c>
      <c r="P73" s="69">
        <v>3.7097857822605102E-4</v>
      </c>
      <c r="Q73" s="56" t="s">
        <v>33</v>
      </c>
      <c r="R73" s="75">
        <f t="array" ref="R73:R79">MMULT(J73:P79,R64:R70)</f>
        <v>-0.35431357274960884</v>
      </c>
    </row>
    <row r="74" spans="1:18" x14ac:dyDescent="0.25">
      <c r="A74" s="42"/>
      <c r="B74" s="52">
        <v>11</v>
      </c>
      <c r="C74" s="33">
        <f>C48+R48</f>
        <v>7.5277255955744158</v>
      </c>
      <c r="D74" s="32">
        <v>1000</v>
      </c>
      <c r="E74" s="32">
        <v>925</v>
      </c>
      <c r="F74" s="32">
        <v>120</v>
      </c>
      <c r="G74" s="29">
        <f t="shared" si="23"/>
        <v>58.836772200970806</v>
      </c>
      <c r="H74" s="29">
        <f t="shared" si="24"/>
        <v>14.459616944032637</v>
      </c>
      <c r="I74" s="45"/>
      <c r="J74" s="70">
        <v>1.0305131174842289E-2</v>
      </c>
      <c r="K74" s="46">
        <v>2.1086429912592609E-2</v>
      </c>
      <c r="L74" s="46">
        <v>8.0375867530883631E-4</v>
      </c>
      <c r="M74" s="46">
        <v>6.3155660864689126E-4</v>
      </c>
      <c r="N74" s="46">
        <v>1.9237304557875005E-4</v>
      </c>
      <c r="O74" s="46">
        <v>4.8751896092404557E-4</v>
      </c>
      <c r="P74" s="71">
        <v>3.1123321620563663E-4</v>
      </c>
      <c r="Q74" s="56" t="s">
        <v>34</v>
      </c>
      <c r="R74" s="31">
        <v>0.39534226306700504</v>
      </c>
    </row>
    <row r="75" spans="1:18" x14ac:dyDescent="0.25">
      <c r="A75" s="42"/>
      <c r="B75" s="51">
        <v>12</v>
      </c>
      <c r="C75" s="33">
        <f>C49+R50</f>
        <v>6.4165900323060594</v>
      </c>
      <c r="D75" s="32">
        <v>1000</v>
      </c>
      <c r="E75" s="32">
        <v>800</v>
      </c>
      <c r="F75" s="32">
        <v>120</v>
      </c>
      <c r="G75" s="29">
        <f t="shared" si="23"/>
        <v>37.868843487884895</v>
      </c>
      <c r="H75" s="29">
        <f t="shared" si="24"/>
        <v>10.91816059618338</v>
      </c>
      <c r="I75" s="45"/>
      <c r="J75" s="70">
        <v>1.2113041932541265E-3</v>
      </c>
      <c r="K75" s="46">
        <v>8.037586753088361E-4</v>
      </c>
      <c r="L75" s="46">
        <v>4.378256604873643E-3</v>
      </c>
      <c r="M75" s="46">
        <v>2.3832335830291946E-3</v>
      </c>
      <c r="N75" s="46">
        <v>7.2593635537304235E-4</v>
      </c>
      <c r="O75" s="46">
        <v>1.8396950394153745E-3</v>
      </c>
      <c r="P75" s="71">
        <v>1.1744655076995219E-3</v>
      </c>
      <c r="Q75" s="56" t="s">
        <v>35</v>
      </c>
      <c r="R75" s="31">
        <v>0.35149009069352161</v>
      </c>
    </row>
    <row r="76" spans="1:18" x14ac:dyDescent="0.25">
      <c r="A76" s="42"/>
      <c r="B76" s="51">
        <v>13</v>
      </c>
      <c r="C76" s="33">
        <f>C50+R51</f>
        <v>1.7817923846782051</v>
      </c>
      <c r="D76" s="32">
        <v>750</v>
      </c>
      <c r="E76" s="32">
        <v>763</v>
      </c>
      <c r="F76" s="32">
        <v>120</v>
      </c>
      <c r="G76" s="29">
        <f t="shared" si="23"/>
        <v>13.700642419687322</v>
      </c>
      <c r="H76" s="29">
        <f t="shared" si="24"/>
        <v>14.225107646870493</v>
      </c>
      <c r="I76" s="45"/>
      <c r="J76" s="70">
        <v>7.5279231311316242E-4</v>
      </c>
      <c r="K76" s="46">
        <v>6.3155660864689116E-4</v>
      </c>
      <c r="L76" s="46">
        <v>2.3832335830291942E-3</v>
      </c>
      <c r="M76" s="46">
        <v>6.5552278026427078E-3</v>
      </c>
      <c r="N76" s="46">
        <v>1.9967317570449786E-3</v>
      </c>
      <c r="O76" s="46">
        <v>5.0601922348841814E-3</v>
      </c>
      <c r="P76" s="71">
        <v>3.2304382600765315E-3</v>
      </c>
      <c r="Q76" s="56" t="s">
        <v>36</v>
      </c>
      <c r="R76" s="31">
        <v>0.38473776854488789</v>
      </c>
    </row>
    <row r="77" spans="1:18" x14ac:dyDescent="0.25">
      <c r="A77" s="42"/>
      <c r="B77" s="51">
        <v>14</v>
      </c>
      <c r="C77" s="33">
        <f>C51+R50-R51</f>
        <v>3.6347976476278543</v>
      </c>
      <c r="D77" s="32">
        <v>1000</v>
      </c>
      <c r="E77" s="32">
        <v>650</v>
      </c>
      <c r="F77" s="32">
        <v>120</v>
      </c>
      <c r="G77" s="29">
        <f t="shared" si="23"/>
        <v>10.751793427501385</v>
      </c>
      <c r="H77" s="29">
        <f t="shared" si="24"/>
        <v>5.4723315488714288</v>
      </c>
      <c r="I77" s="45"/>
      <c r="J77" s="70">
        <v>2.293016144223732E-4</v>
      </c>
      <c r="K77" s="46">
        <v>1.9237304557875005E-4</v>
      </c>
      <c r="L77" s="46">
        <v>7.2593635537304235E-4</v>
      </c>
      <c r="M77" s="46">
        <v>1.9967317570449786E-3</v>
      </c>
      <c r="N77" s="46">
        <v>4.6168638691224811E-2</v>
      </c>
      <c r="O77" s="46">
        <v>2.2215089036391302E-3</v>
      </c>
      <c r="P77" s="71">
        <v>9.949745165261363E-3</v>
      </c>
      <c r="Q77" s="56" t="s">
        <v>37</v>
      </c>
      <c r="R77" s="31">
        <v>6.9311572381820952E-2</v>
      </c>
    </row>
    <row r="78" spans="1:18" x14ac:dyDescent="0.25">
      <c r="A78" s="42"/>
      <c r="B78" s="51">
        <v>15</v>
      </c>
      <c r="C78" s="33">
        <f>C52-R51+R53</f>
        <v>0.56350946584740869</v>
      </c>
      <c r="D78" s="32">
        <v>750</v>
      </c>
      <c r="E78" s="32">
        <v>400</v>
      </c>
      <c r="F78" s="32">
        <v>120</v>
      </c>
      <c r="G78" s="29">
        <f t="shared" si="23"/>
        <v>0.85380363993271491</v>
      </c>
      <c r="H78" s="29">
        <f t="shared" si="24"/>
        <v>2.8030349614450691</v>
      </c>
      <c r="I78" s="45"/>
      <c r="J78" s="70">
        <v>5.8110472007701043E-4</v>
      </c>
      <c r="K78" s="46">
        <v>4.8751896092404551E-4</v>
      </c>
      <c r="L78" s="46">
        <v>1.8396950394153747E-3</v>
      </c>
      <c r="M78" s="46">
        <v>5.0601922348841814E-3</v>
      </c>
      <c r="N78" s="46">
        <v>2.2215089036391306E-3</v>
      </c>
      <c r="O78" s="46">
        <v>1.3358273297621129E-2</v>
      </c>
      <c r="P78" s="71">
        <v>7.9535055297664786E-3</v>
      </c>
      <c r="Q78" s="56" t="s">
        <v>38</v>
      </c>
      <c r="R78" s="31">
        <v>0.83237465656893239</v>
      </c>
    </row>
    <row r="79" spans="1:18" x14ac:dyDescent="0.25">
      <c r="A79" s="42"/>
      <c r="B79" s="51">
        <v>16</v>
      </c>
      <c r="C79" s="33">
        <f>C53+R53</f>
        <v>1.3453018505256136</v>
      </c>
      <c r="D79" s="32">
        <v>750</v>
      </c>
      <c r="E79" s="32">
        <v>125</v>
      </c>
      <c r="F79" s="32">
        <v>120</v>
      </c>
      <c r="G79" s="29">
        <f t="shared" si="23"/>
        <v>1.3346189676402409</v>
      </c>
      <c r="H79" s="29">
        <f t="shared" si="24"/>
        <v>1.8353093688006019</v>
      </c>
      <c r="I79" s="45"/>
      <c r="J79" s="72">
        <v>3.7097857822605102E-4</v>
      </c>
      <c r="K79" s="73">
        <v>3.1123321620563663E-4</v>
      </c>
      <c r="L79" s="73">
        <v>1.1744655076995219E-3</v>
      </c>
      <c r="M79" s="73">
        <v>3.2304382600765315E-3</v>
      </c>
      <c r="N79" s="73">
        <v>9.9497451652613648E-3</v>
      </c>
      <c r="O79" s="73">
        <v>7.9535055297664786E-3</v>
      </c>
      <c r="P79" s="74">
        <v>7.3561677820800225E-2</v>
      </c>
      <c r="Q79" s="56" t="s">
        <v>39</v>
      </c>
      <c r="R79" s="35">
        <v>0.55267807497311294</v>
      </c>
    </row>
    <row r="80" spans="1:18" x14ac:dyDescent="0.25">
      <c r="A80" s="42"/>
      <c r="B80" s="51">
        <v>17</v>
      </c>
      <c r="C80" s="33">
        <f>C54-R53</f>
        <v>-0.34530185052561368</v>
      </c>
      <c r="D80" s="32">
        <v>750</v>
      </c>
      <c r="E80" s="32">
        <v>400</v>
      </c>
      <c r="F80" s="32">
        <v>120</v>
      </c>
      <c r="G80" s="29">
        <f t="shared" si="23"/>
        <v>-0.34503148597861799</v>
      </c>
      <c r="H80" s="29">
        <f t="shared" si="24"/>
        <v>1.8485514864424255</v>
      </c>
      <c r="I80" s="45"/>
      <c r="J80" s="44"/>
      <c r="K80" s="44"/>
    </row>
    <row r="81" spans="1:18" x14ac:dyDescent="0.25">
      <c r="A81" s="42"/>
      <c r="B81" s="51">
        <v>18</v>
      </c>
      <c r="C81" s="33">
        <f>C55+R52-R53</f>
        <v>0.78828806466699575</v>
      </c>
      <c r="D81" s="32">
        <v>500</v>
      </c>
      <c r="E81" s="32">
        <v>125</v>
      </c>
      <c r="F81" s="32">
        <v>120</v>
      </c>
      <c r="G81" s="29">
        <f t="shared" si="23"/>
        <v>3.5766164159585379</v>
      </c>
      <c r="H81" s="29">
        <f t="shared" si="24"/>
        <v>8.3938101642049734</v>
      </c>
      <c r="I81" s="45"/>
      <c r="J81" s="44"/>
      <c r="K81" s="44"/>
    </row>
    <row r="82" spans="1:18" x14ac:dyDescent="0.25">
      <c r="A82" s="42"/>
      <c r="B82" s="51">
        <v>19</v>
      </c>
      <c r="C82" s="33">
        <f>C56-R52</f>
        <v>-0.13358991519260943</v>
      </c>
      <c r="D82" s="32">
        <v>500</v>
      </c>
      <c r="E82" s="32">
        <v>800</v>
      </c>
      <c r="F82" s="32">
        <v>120</v>
      </c>
      <c r="G82" s="29">
        <f t="shared" si="23"/>
        <v>-0.85795888725525227</v>
      </c>
      <c r="H82" s="29">
        <f t="shared" si="24"/>
        <v>11.881315585340131</v>
      </c>
      <c r="I82" s="45"/>
      <c r="J82" s="44"/>
      <c r="K82" s="44"/>
    </row>
    <row r="83" spans="1:18" x14ac:dyDescent="0.25">
      <c r="A83" s="42"/>
      <c r="B83" s="51">
        <v>20</v>
      </c>
      <c r="C83" s="33">
        <f>C57-R52</f>
        <v>0.86641008480739057</v>
      </c>
      <c r="D83" s="32">
        <v>500</v>
      </c>
      <c r="E83" s="32">
        <v>125</v>
      </c>
      <c r="F83" s="32">
        <v>120</v>
      </c>
      <c r="G83" s="29">
        <f t="shared" si="23"/>
        <v>4.2598438402248489</v>
      </c>
      <c r="H83" s="29">
        <f t="shared" si="24"/>
        <v>9.0958210697280979</v>
      </c>
      <c r="I83" s="45"/>
      <c r="J83" s="44"/>
      <c r="K83" s="44"/>
    </row>
    <row r="84" spans="1:18" x14ac:dyDescent="0.25">
      <c r="B84" s="51">
        <v>21</v>
      </c>
      <c r="C84" s="33">
        <f>C58+R50-R52</f>
        <v>1.2830001171134504</v>
      </c>
      <c r="D84" s="32">
        <v>500</v>
      </c>
      <c r="E84" s="32">
        <v>800</v>
      </c>
      <c r="F84" s="32">
        <v>120</v>
      </c>
      <c r="G84" s="29">
        <f t="shared" si="23"/>
        <v>56.364358398430447</v>
      </c>
      <c r="H84" s="29">
        <f t="shared" si="24"/>
        <v>81.273619266455455</v>
      </c>
    </row>
    <row r="85" spans="1:18" x14ac:dyDescent="0.25">
      <c r="B85" s="53">
        <v>22</v>
      </c>
      <c r="C85" s="37">
        <f>C59-R50</f>
        <v>0.58340996769394016</v>
      </c>
      <c r="D85" s="36">
        <v>500</v>
      </c>
      <c r="E85" s="36">
        <v>1000</v>
      </c>
      <c r="F85" s="36">
        <v>120</v>
      </c>
      <c r="G85" s="34">
        <f t="shared" si="23"/>
        <v>16.396335874124031</v>
      </c>
      <c r="H85" s="34">
        <f t="shared" si="24"/>
        <v>51.992977574634821</v>
      </c>
    </row>
    <row r="87" spans="1:18" x14ac:dyDescent="0.25">
      <c r="A87" s="15" t="s">
        <v>25</v>
      </c>
    </row>
    <row r="88" spans="1:18" x14ac:dyDescent="0.25">
      <c r="A88" s="16">
        <f>A62+1</f>
        <v>3</v>
      </c>
      <c r="B88" s="26" t="s">
        <v>3</v>
      </c>
      <c r="C88" s="26" t="s">
        <v>4</v>
      </c>
      <c r="D88" s="26" t="s">
        <v>8</v>
      </c>
      <c r="E88" s="26" t="s">
        <v>6</v>
      </c>
      <c r="F88" s="26" t="s">
        <v>29</v>
      </c>
      <c r="G88" s="26" t="s">
        <v>23</v>
      </c>
      <c r="H88" s="26"/>
    </row>
    <row r="89" spans="1:18" x14ac:dyDescent="0.25">
      <c r="B89" s="27"/>
      <c r="C89" s="27" t="s">
        <v>5</v>
      </c>
      <c r="D89" s="27" t="s">
        <v>28</v>
      </c>
      <c r="E89" s="27" t="s">
        <v>7</v>
      </c>
      <c r="F89" s="27"/>
      <c r="G89" s="27" t="s">
        <v>30</v>
      </c>
      <c r="H89" s="27" t="s">
        <v>13</v>
      </c>
      <c r="J89" t="s">
        <v>19</v>
      </c>
      <c r="R89" t="s">
        <v>21</v>
      </c>
    </row>
    <row r="90" spans="1:18" x14ac:dyDescent="0.25">
      <c r="B90" s="51">
        <v>1</v>
      </c>
      <c r="C90" s="33">
        <f>C64+R73</f>
        <v>-0.46108357471326367</v>
      </c>
      <c r="D90" s="32">
        <v>1000</v>
      </c>
      <c r="E90" s="32">
        <v>1000</v>
      </c>
      <c r="F90" s="32">
        <v>100</v>
      </c>
      <c r="G90" s="29">
        <f>10.67*E90*ABS(C90)^1.85/(F90^1.85*(D90/1000)^4.87)*C90/ABS(C90)</f>
        <v>-0.50834291471869819</v>
      </c>
      <c r="H90" s="29">
        <f>ABS(G90*1.85/C90)</f>
        <v>2.0396180731756153</v>
      </c>
      <c r="J90" s="57">
        <f>H90+H91+H92+H93</f>
        <v>73.255312678376271</v>
      </c>
      <c r="K90" s="58">
        <f>-1*H91</f>
        <v>-33.488850198898184</v>
      </c>
      <c r="L90" s="58">
        <f>-1*H92</f>
        <v>-5.929786666704147</v>
      </c>
      <c r="M90" s="59">
        <v>0</v>
      </c>
      <c r="N90" s="59">
        <v>0</v>
      </c>
      <c r="O90" s="59">
        <v>0</v>
      </c>
      <c r="P90" s="19">
        <v>0</v>
      </c>
      <c r="R90" s="65">
        <f>-1*(G90+G91+G92-G93)</f>
        <v>-5.5417824922673304</v>
      </c>
    </row>
    <row r="91" spans="1:18" x14ac:dyDescent="0.25">
      <c r="B91" s="51">
        <v>2</v>
      </c>
      <c r="C91" s="33">
        <f>C65+R73-R74</f>
        <v>2.6158485666453153</v>
      </c>
      <c r="D91" s="32">
        <v>750</v>
      </c>
      <c r="E91" s="32">
        <v>925</v>
      </c>
      <c r="F91" s="32">
        <v>100</v>
      </c>
      <c r="G91" s="29">
        <f t="shared" ref="G91:G111" si="25">10.67*E91*ABS(C91)^1.85/(F91^1.85*(D91/1000)^4.87)*C91/ABS(C91)</f>
        <v>47.352303130479733</v>
      </c>
      <c r="H91" s="29">
        <f t="shared" ref="H91:H111" si="26">ABS(G91*1.85/C91)</f>
        <v>33.488850198898184</v>
      </c>
      <c r="J91" s="60">
        <f>K90</f>
        <v>-33.488850198898184</v>
      </c>
      <c r="K91" s="44">
        <f>H91+H98+H99+H100</f>
        <v>59.778416820264411</v>
      </c>
      <c r="L91" s="41">
        <v>0</v>
      </c>
      <c r="M91" s="44">
        <f>-1*H98</f>
        <v>-1.9051139976014955</v>
      </c>
      <c r="N91" s="41">
        <v>0</v>
      </c>
      <c r="O91" s="41">
        <v>0</v>
      </c>
      <c r="P91" s="61">
        <v>0</v>
      </c>
      <c r="R91" s="29">
        <f>-1*(G100-G98-G91-G99)</f>
        <v>3.0012416484276017</v>
      </c>
    </row>
    <row r="92" spans="1:18" x14ac:dyDescent="0.25">
      <c r="B92" s="51">
        <v>3</v>
      </c>
      <c r="C92" s="33">
        <f>C66+R73-R75</f>
        <v>0.31134134201449787</v>
      </c>
      <c r="D92" s="32">
        <v>750</v>
      </c>
      <c r="E92" s="32">
        <v>1000</v>
      </c>
      <c r="F92" s="32">
        <v>100</v>
      </c>
      <c r="G92" s="29">
        <f t="shared" si="25"/>
        <v>0.99793931820072701</v>
      </c>
      <c r="H92" s="29">
        <f t="shared" si="26"/>
        <v>5.929786666704147</v>
      </c>
      <c r="J92" s="60">
        <f>-1*H92</f>
        <v>-5.929786666704147</v>
      </c>
      <c r="K92" s="41">
        <v>0</v>
      </c>
      <c r="L92" s="44">
        <f>H92+H94+H95+H96+H97</f>
        <v>247.87696856075939</v>
      </c>
      <c r="M92" s="62">
        <f>-1*H97</f>
        <v>-101.23511692157017</v>
      </c>
      <c r="N92" s="41">
        <v>0</v>
      </c>
      <c r="O92" s="41">
        <v>0</v>
      </c>
      <c r="P92" s="61">
        <v>0</v>
      </c>
      <c r="R92" s="29">
        <f>-1*(G97-G96-G95-G94-G92)</f>
        <v>10.069287820758957</v>
      </c>
    </row>
    <row r="93" spans="1:18" x14ac:dyDescent="0.25">
      <c r="B93" s="51">
        <v>4</v>
      </c>
      <c r="C93" s="33">
        <f>C67-R73</f>
        <v>2.461083574713264</v>
      </c>
      <c r="D93" s="32">
        <v>750</v>
      </c>
      <c r="E93" s="32">
        <v>925</v>
      </c>
      <c r="F93" s="32">
        <v>100</v>
      </c>
      <c r="G93" s="29">
        <f t="shared" si="25"/>
        <v>42.300117041694435</v>
      </c>
      <c r="H93" s="29">
        <f t="shared" si="26"/>
        <v>31.797057739598326</v>
      </c>
      <c r="J93" s="54">
        <v>0</v>
      </c>
      <c r="K93" s="44">
        <f>-1*H98</f>
        <v>-1.9051139976014955</v>
      </c>
      <c r="L93" s="44">
        <f>-1*H97</f>
        <v>-101.23511692157017</v>
      </c>
      <c r="M93" s="44">
        <f>H98+H101+H103+H110+H111+H97</f>
        <v>197.73170090860506</v>
      </c>
      <c r="N93" s="44">
        <f>-1*H103</f>
        <v>-5.8734415266224698</v>
      </c>
      <c r="O93" s="62">
        <f>-1*H110</f>
        <v>-56.435315844809551</v>
      </c>
      <c r="P93" s="61">
        <v>0</v>
      </c>
      <c r="R93" s="29">
        <f>-1*(G98+G101+G103+G110-G111-G97)</f>
        <v>0.20613374973251553</v>
      </c>
    </row>
    <row r="94" spans="1:18" x14ac:dyDescent="0.25">
      <c r="B94" s="51">
        <v>5</v>
      </c>
      <c r="C94" s="33">
        <f>C68-R75</f>
        <v>1.7724249167277617</v>
      </c>
      <c r="D94" s="32">
        <v>500</v>
      </c>
      <c r="E94" s="32">
        <v>350</v>
      </c>
      <c r="F94" s="32">
        <v>100</v>
      </c>
      <c r="G94" s="29">
        <f t="shared" si="25"/>
        <v>62.820163020036155</v>
      </c>
      <c r="H94" s="29">
        <f t="shared" si="26"/>
        <v>65.569661366319792</v>
      </c>
      <c r="J94" s="54">
        <v>0</v>
      </c>
      <c r="K94" s="41">
        <v>0</v>
      </c>
      <c r="L94" s="41">
        <v>0</v>
      </c>
      <c r="M94" s="44">
        <f>-1*H103</f>
        <v>-5.8734415266224698</v>
      </c>
      <c r="N94" s="44">
        <f>H102+H103+H104</f>
        <v>25.312955695391956</v>
      </c>
      <c r="O94" s="41">
        <v>0</v>
      </c>
      <c r="P94" s="21">
        <f>-1*H104</f>
        <v>-4.7454065694158691</v>
      </c>
      <c r="R94" s="29">
        <f>-1*(G102-G104-G103)</f>
        <v>0.52375142645359674</v>
      </c>
    </row>
    <row r="95" spans="1:18" x14ac:dyDescent="0.25">
      <c r="B95" s="51">
        <v>6</v>
      </c>
      <c r="C95" s="33">
        <f>C69-R75</f>
        <v>0.77242491672776148</v>
      </c>
      <c r="D95" s="32">
        <v>500</v>
      </c>
      <c r="E95" s="32">
        <v>671</v>
      </c>
      <c r="F95" s="32">
        <v>100</v>
      </c>
      <c r="G95" s="29">
        <f t="shared" si="25"/>
        <v>25.908193184060934</v>
      </c>
      <c r="H95" s="29">
        <f t="shared" si="26"/>
        <v>62.051542295606126</v>
      </c>
      <c r="J95" s="54">
        <v>0</v>
      </c>
      <c r="K95" s="41">
        <v>0</v>
      </c>
      <c r="L95" s="41">
        <v>0</v>
      </c>
      <c r="M95" s="62">
        <f>-1*H110</f>
        <v>-56.435315844809551</v>
      </c>
      <c r="N95" s="41">
        <v>0</v>
      </c>
      <c r="O95" s="44">
        <f>H107+H108+H109+H110</f>
        <v>131.73357332602882</v>
      </c>
      <c r="P95" s="21">
        <f>-1*H107</f>
        <v>-10.865687046232416</v>
      </c>
      <c r="R95" s="29">
        <f>-1*(G107-G108-G109-G110)</f>
        <v>-14.118553601690895</v>
      </c>
    </row>
    <row r="96" spans="1:18" x14ac:dyDescent="0.25">
      <c r="B96" s="51">
        <v>7</v>
      </c>
      <c r="C96" s="33">
        <f>C70-R75</f>
        <v>-0.22757508327223847</v>
      </c>
      <c r="D96" s="32">
        <v>500</v>
      </c>
      <c r="E96" s="32">
        <v>400</v>
      </c>
      <c r="F96" s="32">
        <v>100</v>
      </c>
      <c r="G96" s="29">
        <f t="shared" si="25"/>
        <v>-1.6103534339761192</v>
      </c>
      <c r="H96" s="29">
        <f t="shared" si="26"/>
        <v>13.09086131055914</v>
      </c>
      <c r="J96" s="24">
        <v>0</v>
      </c>
      <c r="K96" s="63">
        <v>0</v>
      </c>
      <c r="L96" s="63">
        <v>0</v>
      </c>
      <c r="M96" s="63">
        <v>0</v>
      </c>
      <c r="N96" s="64">
        <f>-1*H104</f>
        <v>-4.7454065694158691</v>
      </c>
      <c r="O96" s="64">
        <f>-1*H107</f>
        <v>-10.865687046232416</v>
      </c>
      <c r="P96" s="23">
        <f>H104+H105+H106+H107</f>
        <v>22.235335293100292</v>
      </c>
      <c r="R96" s="34">
        <f>-1*(G104+G105-G106-G107)</f>
        <v>-0.95724954891877978</v>
      </c>
    </row>
    <row r="97" spans="1:18" x14ac:dyDescent="0.25">
      <c r="A97" s="40"/>
      <c r="B97" s="51">
        <v>8</v>
      </c>
      <c r="C97" s="33">
        <f>C71+R75-R76</f>
        <v>1.4262472824212908</v>
      </c>
      <c r="D97" s="32">
        <v>500</v>
      </c>
      <c r="E97" s="32">
        <v>650</v>
      </c>
      <c r="F97" s="32">
        <v>100</v>
      </c>
      <c r="G97" s="29">
        <f t="shared" si="25"/>
        <v>78.046654267562744</v>
      </c>
      <c r="H97" s="29">
        <f t="shared" si="26"/>
        <v>101.23511692157017</v>
      </c>
      <c r="I97" s="41"/>
      <c r="J97" s="41"/>
      <c r="K97" s="41"/>
    </row>
    <row r="98" spans="1:18" x14ac:dyDescent="0.25">
      <c r="A98" s="42"/>
      <c r="B98" s="51">
        <v>9</v>
      </c>
      <c r="C98" s="33">
        <f>C72-R74+R76</f>
        <v>-0.12174005779047287</v>
      </c>
      <c r="D98" s="32">
        <v>750</v>
      </c>
      <c r="E98" s="32">
        <v>1000</v>
      </c>
      <c r="F98" s="32">
        <v>120</v>
      </c>
      <c r="G98" s="29">
        <f t="shared" si="25"/>
        <v>-0.12536685846780801</v>
      </c>
      <c r="H98" s="29">
        <f t="shared" si="26"/>
        <v>1.9051139976014955</v>
      </c>
      <c r="I98" s="41"/>
      <c r="J98" s="41" t="s">
        <v>31</v>
      </c>
      <c r="K98" s="41"/>
    </row>
    <row r="99" spans="1:18" x14ac:dyDescent="0.25">
      <c r="A99" s="42"/>
      <c r="B99" s="52">
        <v>10</v>
      </c>
      <c r="C99" s="33">
        <f>C73-R74</f>
        <v>4.0769321413585793</v>
      </c>
      <c r="D99" s="32">
        <v>1000</v>
      </c>
      <c r="E99" s="32">
        <v>1000</v>
      </c>
      <c r="F99" s="32">
        <v>120</v>
      </c>
      <c r="G99" s="29">
        <f t="shared" si="25"/>
        <v>20.454838625660756</v>
      </c>
      <c r="H99" s="29">
        <f t="shared" si="26"/>
        <v>9.2818448150236517</v>
      </c>
      <c r="I99" s="43"/>
      <c r="J99" s="66">
        <f t="array" ref="J99:P105">MINVERSE(J90:P96)</f>
        <v>1.8430391268691022E-2</v>
      </c>
      <c r="K99" s="67">
        <v>1.0340873841409835E-2</v>
      </c>
      <c r="L99" s="68">
        <v>6.4422219327853821E-4</v>
      </c>
      <c r="M99" s="68">
        <v>4.9784657216595289E-4</v>
      </c>
      <c r="N99" s="68">
        <v>1.4178712864798041E-4</v>
      </c>
      <c r="O99" s="68">
        <v>2.2483826561225186E-4</v>
      </c>
      <c r="P99" s="69">
        <v>1.4013100143679913E-4</v>
      </c>
      <c r="Q99" s="56" t="s">
        <v>33</v>
      </c>
      <c r="R99" s="75">
        <f t="array" ref="R99:R105">MMULT(J99:P105,R90:R96)</f>
        <v>-6.7746546970930174E-2</v>
      </c>
    </row>
    <row r="100" spans="1:18" x14ac:dyDescent="0.25">
      <c r="A100" s="42"/>
      <c r="B100" s="52">
        <v>11</v>
      </c>
      <c r="C100" s="33">
        <f>C74+R74</f>
        <v>7.9230678586414207</v>
      </c>
      <c r="D100" s="32">
        <v>1000</v>
      </c>
      <c r="E100" s="32">
        <v>925</v>
      </c>
      <c r="F100" s="32">
        <v>120</v>
      </c>
      <c r="G100" s="29">
        <f t="shared" si="25"/>
        <v>64.680533249245073</v>
      </c>
      <c r="H100" s="29">
        <f t="shared" si="26"/>
        <v>15.10260780874108</v>
      </c>
      <c r="I100" s="45"/>
      <c r="J100" s="70">
        <v>1.0340873841409836E-2</v>
      </c>
      <c r="K100" s="46">
        <v>2.2538338423697478E-2</v>
      </c>
      <c r="L100" s="46">
        <v>4.6222698570823079E-4</v>
      </c>
      <c r="M100" s="46">
        <v>5.2606496438119558E-4</v>
      </c>
      <c r="N100" s="46">
        <v>1.4982375083431957E-4</v>
      </c>
      <c r="O100" s="46">
        <v>2.3758230106164441E-4</v>
      </c>
      <c r="P100" s="71">
        <v>1.480737528408205E-4</v>
      </c>
      <c r="Q100" s="56" t="s">
        <v>34</v>
      </c>
      <c r="R100" s="31">
        <v>1.1681271073566157E-2</v>
      </c>
    </row>
    <row r="101" spans="1:18" x14ac:dyDescent="0.25">
      <c r="A101" s="42"/>
      <c r="B101" s="51">
        <v>12</v>
      </c>
      <c r="C101" s="33">
        <f>C75+R76</f>
        <v>6.801327800850947</v>
      </c>
      <c r="D101" s="32">
        <v>1000</v>
      </c>
      <c r="E101" s="32">
        <v>800</v>
      </c>
      <c r="F101" s="32">
        <v>120</v>
      </c>
      <c r="G101" s="29">
        <f t="shared" si="25"/>
        <v>42.176201060423018</v>
      </c>
      <c r="H101" s="29">
        <f t="shared" si="26"/>
        <v>11.472167530584304</v>
      </c>
      <c r="I101" s="45"/>
      <c r="J101" s="70">
        <v>6.4422219327853821E-4</v>
      </c>
      <c r="K101" s="46">
        <v>4.6222698570823079E-4</v>
      </c>
      <c r="L101" s="46">
        <v>5.348126282310948E-3</v>
      </c>
      <c r="M101" s="46">
        <v>3.1793041777846351E-3</v>
      </c>
      <c r="N101" s="46">
        <v>9.0546854326104822E-4</v>
      </c>
      <c r="O101" s="46">
        <v>1.4358424405272428E-3</v>
      </c>
      <c r="P101" s="71">
        <v>8.9489232870855299E-4</v>
      </c>
      <c r="Q101" s="56" t="s">
        <v>35</v>
      </c>
      <c r="R101" s="31">
        <v>3.1669887041743269E-2</v>
      </c>
    </row>
    <row r="102" spans="1:18" x14ac:dyDescent="0.25">
      <c r="A102" s="42"/>
      <c r="B102" s="51">
        <v>13</v>
      </c>
      <c r="C102" s="33">
        <f>C76+R77</f>
        <v>1.8511039570600261</v>
      </c>
      <c r="D102" s="32">
        <v>750</v>
      </c>
      <c r="E102" s="32">
        <v>763</v>
      </c>
      <c r="F102" s="32">
        <v>120</v>
      </c>
      <c r="G102" s="29">
        <f t="shared" si="25"/>
        <v>14.702876066286098</v>
      </c>
      <c r="H102" s="29">
        <f t="shared" si="26"/>
        <v>14.694107599353618</v>
      </c>
      <c r="I102" s="45"/>
      <c r="J102" s="70">
        <v>4.9784657216595267E-4</v>
      </c>
      <c r="K102" s="46">
        <v>5.2606496438119548E-4</v>
      </c>
      <c r="L102" s="46">
        <v>3.1793041777846347E-3</v>
      </c>
      <c r="M102" s="46">
        <v>7.755452669298322E-3</v>
      </c>
      <c r="N102" s="46">
        <v>2.2087595392312441E-3</v>
      </c>
      <c r="O102" s="46">
        <v>3.5025299453537045E-3</v>
      </c>
      <c r="P102" s="71">
        <v>2.1829603936334876E-3</v>
      </c>
      <c r="Q102" s="56" t="s">
        <v>36</v>
      </c>
      <c r="R102" s="31">
        <v>-1.7951573628886379E-2</v>
      </c>
    </row>
    <row r="103" spans="1:18" x14ac:dyDescent="0.25">
      <c r="A103" s="42"/>
      <c r="B103" s="51">
        <v>14</v>
      </c>
      <c r="C103" s="33">
        <f>C77+R76-R77</f>
        <v>3.950223843790921</v>
      </c>
      <c r="D103" s="32">
        <v>1000</v>
      </c>
      <c r="E103" s="32">
        <v>650</v>
      </c>
      <c r="F103" s="32">
        <v>120</v>
      </c>
      <c r="G103" s="29">
        <f t="shared" si="25"/>
        <v>12.541302034365311</v>
      </c>
      <c r="H103" s="29">
        <f t="shared" si="26"/>
        <v>5.8734415266224698</v>
      </c>
      <c r="I103" s="45"/>
      <c r="J103" s="70">
        <v>1.4178712864798044E-4</v>
      </c>
      <c r="K103" s="46">
        <v>1.4982375083431962E-4</v>
      </c>
      <c r="L103" s="46">
        <v>9.0546854326104833E-4</v>
      </c>
      <c r="M103" s="46">
        <v>2.2087595392312445E-3</v>
      </c>
      <c r="N103" s="46">
        <v>4.1853133489277189E-2</v>
      </c>
      <c r="O103" s="46">
        <v>1.7536750115218006E-3</v>
      </c>
      <c r="P103" s="71">
        <v>9.7891493695708501E-3</v>
      </c>
      <c r="Q103" s="56" t="s">
        <v>37</v>
      </c>
      <c r="R103" s="31">
        <v>-2.9727479872995715E-3</v>
      </c>
    </row>
    <row r="104" spans="1:18" x14ac:dyDescent="0.25">
      <c r="A104" s="42"/>
      <c r="B104" s="51">
        <v>15</v>
      </c>
      <c r="C104" s="33">
        <f>C78-R77+R79</f>
        <v>1.0468759684387008</v>
      </c>
      <c r="D104" s="32">
        <v>750</v>
      </c>
      <c r="E104" s="32">
        <v>400</v>
      </c>
      <c r="F104" s="32">
        <v>120</v>
      </c>
      <c r="G104" s="29">
        <f t="shared" si="25"/>
        <v>2.6853254583743844</v>
      </c>
      <c r="H104" s="29">
        <f t="shared" si="26"/>
        <v>4.7454065694158691</v>
      </c>
      <c r="I104" s="45"/>
      <c r="J104" s="70">
        <v>2.2483826561225186E-4</v>
      </c>
      <c r="K104" s="46">
        <v>2.3758230106164438E-4</v>
      </c>
      <c r="L104" s="46">
        <v>1.4358424405272426E-3</v>
      </c>
      <c r="M104" s="46">
        <v>3.5025299453537041E-3</v>
      </c>
      <c r="N104" s="46">
        <v>1.7536750115218006E-3</v>
      </c>
      <c r="O104" s="46">
        <v>9.5055868687144874E-3</v>
      </c>
      <c r="P104" s="71">
        <v>5.019336634926117E-3</v>
      </c>
      <c r="Q104" s="56" t="s">
        <v>38</v>
      </c>
      <c r="R104" s="31">
        <v>-0.12344446809927886</v>
      </c>
    </row>
    <row r="105" spans="1:18" x14ac:dyDescent="0.25">
      <c r="A105" s="42"/>
      <c r="B105" s="51">
        <v>16</v>
      </c>
      <c r="C105" s="33">
        <f>C79+R79</f>
        <v>1.8979799254987264</v>
      </c>
      <c r="D105" s="32">
        <v>750</v>
      </c>
      <c r="E105" s="32">
        <v>125</v>
      </c>
      <c r="F105" s="32">
        <v>120</v>
      </c>
      <c r="G105" s="29">
        <f t="shared" si="25"/>
        <v>2.5227851254239457</v>
      </c>
      <c r="H105" s="29">
        <f t="shared" si="26"/>
        <v>2.4590104559762014</v>
      </c>
      <c r="I105" s="45"/>
      <c r="J105" s="72">
        <v>1.4013100143679913E-4</v>
      </c>
      <c r="K105" s="73">
        <v>1.480737528408205E-4</v>
      </c>
      <c r="L105" s="73">
        <v>8.9489232870855289E-4</v>
      </c>
      <c r="M105" s="73">
        <v>2.1829603936334876E-3</v>
      </c>
      <c r="N105" s="73">
        <v>9.7891493695708518E-3</v>
      </c>
      <c r="O105" s="73">
        <v>5.019336634926117E-3</v>
      </c>
      <c r="P105" s="74">
        <v>4.9515423098827435E-2</v>
      </c>
      <c r="Q105" s="56" t="s">
        <v>39</v>
      </c>
      <c r="R105" s="35">
        <v>-0.10400856898343883</v>
      </c>
    </row>
    <row r="106" spans="1:18" x14ac:dyDescent="0.25">
      <c r="A106" s="42"/>
      <c r="B106" s="51">
        <v>17</v>
      </c>
      <c r="C106" s="33">
        <f>C80-R79</f>
        <v>-0.89797992549872663</v>
      </c>
      <c r="D106" s="32">
        <v>750</v>
      </c>
      <c r="E106" s="32">
        <v>400</v>
      </c>
      <c r="F106" s="32">
        <v>120</v>
      </c>
      <c r="G106" s="29">
        <f t="shared" si="25"/>
        <v>-2.0217805524031425</v>
      </c>
      <c r="H106" s="29">
        <f t="shared" si="26"/>
        <v>4.1652312214758052</v>
      </c>
      <c r="I106" s="45"/>
      <c r="J106" s="44"/>
      <c r="K106" s="44"/>
    </row>
    <row r="107" spans="1:18" x14ac:dyDescent="0.25">
      <c r="A107" s="42"/>
      <c r="B107" s="51">
        <v>18</v>
      </c>
      <c r="C107" s="33">
        <f>C81+R78-R79</f>
        <v>1.0679846462628153</v>
      </c>
      <c r="D107" s="32">
        <v>500</v>
      </c>
      <c r="E107" s="32">
        <v>125</v>
      </c>
      <c r="F107" s="32">
        <v>120</v>
      </c>
      <c r="G107" s="29">
        <f t="shared" si="25"/>
        <v>6.2726415872826928</v>
      </c>
      <c r="H107" s="29">
        <f t="shared" si="26"/>
        <v>10.865687046232416</v>
      </c>
      <c r="I107" s="45"/>
      <c r="J107" s="44"/>
      <c r="K107" s="44"/>
    </row>
    <row r="108" spans="1:18" x14ac:dyDescent="0.25">
      <c r="A108" s="42"/>
      <c r="B108" s="51">
        <v>19</v>
      </c>
      <c r="C108" s="33">
        <f>C82-R78</f>
        <v>-0.96596457176154182</v>
      </c>
      <c r="D108" s="32">
        <v>500</v>
      </c>
      <c r="E108" s="32">
        <v>800</v>
      </c>
      <c r="F108" s="32">
        <v>120</v>
      </c>
      <c r="G108" s="29">
        <f t="shared" si="25"/>
        <v>-33.339831222016798</v>
      </c>
      <c r="H108" s="29">
        <f t="shared" si="26"/>
        <v>63.851915032715183</v>
      </c>
      <c r="I108" s="45"/>
      <c r="J108" s="44"/>
      <c r="K108" s="44"/>
    </row>
    <row r="109" spans="1:18" x14ac:dyDescent="0.25">
      <c r="A109" s="42"/>
      <c r="B109" s="51">
        <v>20</v>
      </c>
      <c r="C109" s="33">
        <f>C83-R78</f>
        <v>3.4035428238458176E-2</v>
      </c>
      <c r="D109" s="32">
        <v>500</v>
      </c>
      <c r="E109" s="32">
        <v>125</v>
      </c>
      <c r="F109" s="32">
        <v>120</v>
      </c>
      <c r="G109" s="29">
        <f t="shared" si="25"/>
        <v>1.0682624473129777E-2</v>
      </c>
      <c r="H109" s="29">
        <f t="shared" si="26"/>
        <v>0.58065540227165824</v>
      </c>
      <c r="I109" s="45"/>
      <c r="J109" s="44"/>
      <c r="K109" s="44"/>
    </row>
    <row r="110" spans="1:18" x14ac:dyDescent="0.25">
      <c r="B110" s="51">
        <v>21</v>
      </c>
      <c r="C110" s="33">
        <f>C84+R76-R78</f>
        <v>0.83536322908940586</v>
      </c>
      <c r="D110" s="32">
        <v>500</v>
      </c>
      <c r="E110" s="32">
        <v>800</v>
      </c>
      <c r="F110" s="32">
        <v>120</v>
      </c>
      <c r="G110" s="29">
        <f t="shared" si="25"/>
        <v>25.483236583135469</v>
      </c>
      <c r="H110" s="29">
        <f t="shared" si="26"/>
        <v>56.435315844809551</v>
      </c>
    </row>
    <row r="111" spans="1:18" x14ac:dyDescent="0.25">
      <c r="B111" s="53">
        <v>22</v>
      </c>
      <c r="C111" s="37">
        <f>C85-R76</f>
        <v>0.19867219914905226</v>
      </c>
      <c r="D111" s="36">
        <v>500</v>
      </c>
      <c r="E111" s="36">
        <v>1000</v>
      </c>
      <c r="F111" s="36">
        <v>120</v>
      </c>
      <c r="G111" s="34">
        <f t="shared" si="25"/>
        <v>2.2348523016257604</v>
      </c>
      <c r="H111" s="34">
        <f t="shared" si="26"/>
        <v>20.810545087417079</v>
      </c>
    </row>
    <row r="113" spans="1:18" x14ac:dyDescent="0.25">
      <c r="A113" s="15" t="s">
        <v>25</v>
      </c>
    </row>
    <row r="114" spans="1:18" x14ac:dyDescent="0.25">
      <c r="A114" s="16">
        <f>A88+1</f>
        <v>4</v>
      </c>
      <c r="B114" s="26" t="s">
        <v>3</v>
      </c>
      <c r="C114" s="26" t="s">
        <v>4</v>
      </c>
      <c r="D114" s="26" t="s">
        <v>8</v>
      </c>
      <c r="E114" s="26" t="s">
        <v>6</v>
      </c>
      <c r="F114" s="26" t="s">
        <v>29</v>
      </c>
      <c r="G114" s="26" t="s">
        <v>23</v>
      </c>
      <c r="H114" s="26"/>
    </row>
    <row r="115" spans="1:18" x14ac:dyDescent="0.25">
      <c r="B115" s="27"/>
      <c r="C115" s="27" t="s">
        <v>5</v>
      </c>
      <c r="D115" s="27" t="s">
        <v>28</v>
      </c>
      <c r="E115" s="27" t="s">
        <v>7</v>
      </c>
      <c r="F115" s="27"/>
      <c r="G115" s="27" t="s">
        <v>30</v>
      </c>
      <c r="H115" s="27" t="s">
        <v>13</v>
      </c>
      <c r="J115" t="s">
        <v>19</v>
      </c>
      <c r="R115" t="s">
        <v>21</v>
      </c>
    </row>
    <row r="116" spans="1:18" x14ac:dyDescent="0.25">
      <c r="B116" s="51">
        <v>1</v>
      </c>
      <c r="C116" s="33">
        <f>C90+R99</f>
        <v>-0.52883012168419385</v>
      </c>
      <c r="D116" s="32">
        <v>1000</v>
      </c>
      <c r="E116" s="32">
        <v>1000</v>
      </c>
      <c r="F116" s="32">
        <v>100</v>
      </c>
      <c r="G116" s="29">
        <f>10.67*E116*ABS(C116)^1.85/(F116^1.85*(D116/1000)^4.87)*C116/ABS(C116)</f>
        <v>-0.65508757186405453</v>
      </c>
      <c r="H116" s="29">
        <f>ABS(G116*1.85/C116)</f>
        <v>2.2916849064664833</v>
      </c>
      <c r="J116" s="57">
        <f>H116+H117+H118+H119</f>
        <v>71.729788500038779</v>
      </c>
      <c r="K116" s="58">
        <f>-1*H117</f>
        <v>-32.622529343868869</v>
      </c>
      <c r="L116" s="58">
        <f>-1*H118</f>
        <v>-4.2760472739200681</v>
      </c>
      <c r="M116" s="59">
        <v>0</v>
      </c>
      <c r="N116" s="59">
        <v>0</v>
      </c>
      <c r="O116" s="59">
        <v>0</v>
      </c>
      <c r="P116" s="19">
        <v>0</v>
      </c>
      <c r="R116" s="65">
        <f>-1*(G116+G117+G118-G119)</f>
        <v>-8.206121897308094E-2</v>
      </c>
    </row>
    <row r="117" spans="1:18" x14ac:dyDescent="0.25">
      <c r="B117" s="51">
        <v>2</v>
      </c>
      <c r="C117" s="33">
        <f>C91+R99-R100</f>
        <v>2.5364207486008192</v>
      </c>
      <c r="D117" s="32">
        <v>750</v>
      </c>
      <c r="E117" s="32">
        <v>925</v>
      </c>
      <c r="F117" s="32">
        <v>100</v>
      </c>
      <c r="G117" s="29">
        <f t="shared" ref="G117:G137" si="27">10.67*E117*ABS(C117)^1.85/(F117^1.85*(D117/1000)^4.87)*C117/ABS(C117)</f>
        <v>44.726735297096255</v>
      </c>
      <c r="H117" s="29">
        <f t="shared" ref="H117:H137" si="28">ABS(G117*1.85/C117)</f>
        <v>32.622529343868869</v>
      </c>
      <c r="J117" s="60">
        <f>K116</f>
        <v>-32.622529343868869</v>
      </c>
      <c r="K117" s="44">
        <f>H117+H124+H125+H126</f>
        <v>59.295975932657527</v>
      </c>
      <c r="L117" s="41">
        <v>0</v>
      </c>
      <c r="M117" s="44">
        <f>-1*H124</f>
        <v>-2.2926798156155286</v>
      </c>
      <c r="N117" s="41">
        <v>0</v>
      </c>
      <c r="O117" s="41">
        <v>0</v>
      </c>
      <c r="P117" s="61">
        <v>0</v>
      </c>
      <c r="R117" s="29">
        <f>-1*(G126-G124-G117-G125)</f>
        <v>2.8626409206435E-2</v>
      </c>
    </row>
    <row r="118" spans="1:18" x14ac:dyDescent="0.25">
      <c r="B118" s="51">
        <v>3</v>
      </c>
      <c r="C118" s="33">
        <f>C92+R99-R101</f>
        <v>0.2119249080018244</v>
      </c>
      <c r="D118" s="32">
        <v>750</v>
      </c>
      <c r="E118" s="32">
        <v>1000</v>
      </c>
      <c r="F118" s="32">
        <v>100</v>
      </c>
      <c r="G118" s="29">
        <f t="shared" si="27"/>
        <v>0.48983833791187159</v>
      </c>
      <c r="H118" s="29">
        <f t="shared" si="28"/>
        <v>4.2760472739200681</v>
      </c>
      <c r="J118" s="60">
        <f>-1*H118</f>
        <v>-4.2760472739200681</v>
      </c>
      <c r="K118" s="41">
        <v>0</v>
      </c>
      <c r="L118" s="44">
        <f>H118+H120+H121+H122+H123</f>
        <v>247.5759727380821</v>
      </c>
      <c r="M118" s="62">
        <f>-1*H123</f>
        <v>-104.22122132215461</v>
      </c>
      <c r="N118" s="41">
        <v>0</v>
      </c>
      <c r="O118" s="41">
        <v>0</v>
      </c>
      <c r="P118" s="61">
        <v>0</v>
      </c>
      <c r="R118" s="29">
        <f>-1*(G123-G122-G121-G120-G118)</f>
        <v>3.3008559703974427E-2</v>
      </c>
    </row>
    <row r="119" spans="1:18" x14ac:dyDescent="0.25">
      <c r="B119" s="51">
        <v>4</v>
      </c>
      <c r="C119" s="33">
        <f>C93-R99</f>
        <v>2.528830121684194</v>
      </c>
      <c r="D119" s="32">
        <v>750</v>
      </c>
      <c r="E119" s="32">
        <v>925</v>
      </c>
      <c r="F119" s="32">
        <v>100</v>
      </c>
      <c r="G119" s="29">
        <f t="shared" si="27"/>
        <v>44.479424844170993</v>
      </c>
      <c r="H119" s="29">
        <f t="shared" si="28"/>
        <v>32.53952697578336</v>
      </c>
      <c r="J119" s="54">
        <v>0</v>
      </c>
      <c r="K119" s="44">
        <f>-1*H124</f>
        <v>-2.2926798156155286</v>
      </c>
      <c r="L119" s="44">
        <f>-1*H123</f>
        <v>-104.22122132215461</v>
      </c>
      <c r="M119" s="44">
        <f>H124+H127+H129+H136+H137+H123</f>
        <v>208.65161964355806</v>
      </c>
      <c r="N119" s="44">
        <f>-1*H129</f>
        <v>-5.8545053931229445</v>
      </c>
      <c r="O119" s="62">
        <f>-1*H136</f>
        <v>-62.43838222571641</v>
      </c>
      <c r="P119" s="61">
        <v>0</v>
      </c>
      <c r="R119" s="29">
        <f>-1*(G124+G127+G129+G136-G137-G123)</f>
        <v>-0.22374683214268032</v>
      </c>
    </row>
    <row r="120" spans="1:18" x14ac:dyDescent="0.25">
      <c r="B120" s="51">
        <v>5</v>
      </c>
      <c r="C120" s="33">
        <f>C94-R101</f>
        <v>1.7407550296860184</v>
      </c>
      <c r="D120" s="32">
        <v>500</v>
      </c>
      <c r="E120" s="32">
        <v>350</v>
      </c>
      <c r="F120" s="32">
        <v>100</v>
      </c>
      <c r="G120" s="29">
        <f t="shared" si="27"/>
        <v>60.759362881052503</v>
      </c>
      <c r="H120" s="29">
        <f t="shared" si="28"/>
        <v>64.572452420385488</v>
      </c>
      <c r="J120" s="54">
        <v>0</v>
      </c>
      <c r="K120" s="41">
        <v>0</v>
      </c>
      <c r="L120" s="41">
        <v>0</v>
      </c>
      <c r="M120" s="44">
        <f>-1*H129</f>
        <v>-5.8545053931229445</v>
      </c>
      <c r="N120" s="44">
        <f>H128+H129+H130</f>
        <v>24.881741900922869</v>
      </c>
      <c r="O120" s="41">
        <v>0</v>
      </c>
      <c r="P120" s="21">
        <f>-1*H130</f>
        <v>-4.35318940891589</v>
      </c>
      <c r="R120" s="29">
        <f>-1*(G128-G130-G129)</f>
        <v>1.9875722994161293E-2</v>
      </c>
    </row>
    <row r="121" spans="1:18" x14ac:dyDescent="0.25">
      <c r="B121" s="51">
        <v>6</v>
      </c>
      <c r="C121" s="33">
        <f>C95-R101</f>
        <v>0.74075502968601825</v>
      </c>
      <c r="D121" s="32">
        <v>500</v>
      </c>
      <c r="E121" s="32">
        <v>671</v>
      </c>
      <c r="F121" s="32">
        <v>100</v>
      </c>
      <c r="G121" s="29">
        <f t="shared" si="27"/>
        <v>23.97734240067479</v>
      </c>
      <c r="H121" s="29">
        <f t="shared" si="28"/>
        <v>59.882257512379361</v>
      </c>
      <c r="J121" s="54">
        <v>0</v>
      </c>
      <c r="K121" s="41">
        <v>0</v>
      </c>
      <c r="L121" s="41">
        <v>0</v>
      </c>
      <c r="M121" s="62">
        <f>-1*H136</f>
        <v>-62.43838222571641</v>
      </c>
      <c r="N121" s="41">
        <v>0</v>
      </c>
      <c r="O121" s="44">
        <f>H133+H134+H135+H136</f>
        <v>132.11688871288021</v>
      </c>
      <c r="P121" s="21">
        <f>-1*H133</f>
        <v>-10.697376131645074</v>
      </c>
      <c r="R121" s="29">
        <f>-1*(G133-G134-G135-G136)</f>
        <v>-1.5607467140796416E-2</v>
      </c>
    </row>
    <row r="122" spans="1:18" x14ac:dyDescent="0.25">
      <c r="B122" s="51">
        <v>7</v>
      </c>
      <c r="C122" s="33">
        <f>C96-R101</f>
        <v>-0.25924497031398175</v>
      </c>
      <c r="D122" s="32">
        <v>500</v>
      </c>
      <c r="E122" s="32">
        <v>400</v>
      </c>
      <c r="F122" s="32">
        <v>100</v>
      </c>
      <c r="G122" s="29">
        <f t="shared" si="27"/>
        <v>-2.0492956457550977</v>
      </c>
      <c r="H122" s="29">
        <f t="shared" si="28"/>
        <v>14.62399420924257</v>
      </c>
      <c r="J122" s="24">
        <v>0</v>
      </c>
      <c r="K122" s="63">
        <v>0</v>
      </c>
      <c r="L122" s="63">
        <v>0</v>
      </c>
      <c r="M122" s="63">
        <v>0</v>
      </c>
      <c r="N122" s="64">
        <f>-1*H130</f>
        <v>-4.35318940891589</v>
      </c>
      <c r="O122" s="64">
        <f>-1*H133</f>
        <v>-10.697376131645074</v>
      </c>
      <c r="P122" s="23">
        <f>H130+H131+H132+H133</f>
        <v>21.145982935757104</v>
      </c>
      <c r="R122" s="34">
        <f>-1*(G130+G131-G132-G133)</f>
        <v>-4.5555349779654364E-2</v>
      </c>
    </row>
    <row r="123" spans="1:18" x14ac:dyDescent="0.25">
      <c r="A123" s="40"/>
      <c r="B123" s="51">
        <v>8</v>
      </c>
      <c r="C123" s="33">
        <f>C97+R101-R102</f>
        <v>1.4758687430919206</v>
      </c>
      <c r="D123" s="32">
        <v>500</v>
      </c>
      <c r="E123" s="32">
        <v>650</v>
      </c>
      <c r="F123" s="32">
        <v>100</v>
      </c>
      <c r="G123" s="29">
        <f t="shared" si="27"/>
        <v>83.144239414180092</v>
      </c>
      <c r="H123" s="29">
        <f t="shared" si="28"/>
        <v>104.22122132215461</v>
      </c>
      <c r="I123" s="41"/>
      <c r="J123" s="41"/>
      <c r="K123" s="41"/>
    </row>
    <row r="124" spans="1:18" x14ac:dyDescent="0.25">
      <c r="A124" s="42"/>
      <c r="B124" s="51">
        <v>9</v>
      </c>
      <c r="C124" s="33">
        <f>C98-R100+R102</f>
        <v>-0.1513729024929254</v>
      </c>
      <c r="D124" s="32">
        <v>750</v>
      </c>
      <c r="E124" s="32">
        <v>1000</v>
      </c>
      <c r="F124" s="32">
        <v>120</v>
      </c>
      <c r="G124" s="29">
        <f t="shared" si="27"/>
        <v>-0.18759437739279328</v>
      </c>
      <c r="H124" s="29">
        <f t="shared" si="28"/>
        <v>2.2926798156155286</v>
      </c>
      <c r="I124" s="41"/>
      <c r="J124" s="41" t="s">
        <v>31</v>
      </c>
      <c r="K124" s="41"/>
    </row>
    <row r="125" spans="1:18" x14ac:dyDescent="0.25">
      <c r="A125" s="42"/>
      <c r="B125" s="52">
        <v>10</v>
      </c>
      <c r="C125" s="33">
        <f>C99-R100</f>
        <v>4.0652508702850128</v>
      </c>
      <c r="D125" s="32">
        <v>1000</v>
      </c>
      <c r="E125" s="32">
        <v>1000</v>
      </c>
      <c r="F125" s="32">
        <v>120</v>
      </c>
      <c r="G125" s="29">
        <f t="shared" si="27"/>
        <v>20.34654692843257</v>
      </c>
      <c r="H125" s="29">
        <f t="shared" si="28"/>
        <v>9.2592346742333405</v>
      </c>
      <c r="I125" s="43"/>
      <c r="J125" s="66">
        <f t="array" ref="J125:P131">MINVERSE(J116:P122)</f>
        <v>1.8643800763672416E-2</v>
      </c>
      <c r="K125" s="67">
        <v>1.0273883821371147E-2</v>
      </c>
      <c r="L125" s="68">
        <v>5.0415934128054951E-4</v>
      </c>
      <c r="M125" s="68">
        <v>4.3269465977680168E-4</v>
      </c>
      <c r="N125" s="68">
        <v>1.2539106802773745E-4</v>
      </c>
      <c r="O125" s="68">
        <v>2.1540453252682636E-4</v>
      </c>
      <c r="P125" s="69">
        <v>1.347827803924023E-4</v>
      </c>
      <c r="Q125" s="56" t="s">
        <v>33</v>
      </c>
      <c r="R125" s="75">
        <f t="array" ref="R125:R131">MMULT(J125:P131,R116:R122)</f>
        <v>-1.3230108579757919E-3</v>
      </c>
    </row>
    <row r="126" spans="1:18" x14ac:dyDescent="0.25">
      <c r="A126" s="42"/>
      <c r="B126" s="52">
        <v>11</v>
      </c>
      <c r="C126" s="33">
        <f>C100+R100</f>
        <v>7.9347491297149872</v>
      </c>
      <c r="D126" s="32">
        <v>1000</v>
      </c>
      <c r="E126" s="32">
        <v>925</v>
      </c>
      <c r="F126" s="32">
        <v>120</v>
      </c>
      <c r="G126" s="29">
        <f t="shared" si="27"/>
        <v>64.857061438929591</v>
      </c>
      <c r="H126" s="29">
        <f t="shared" si="28"/>
        <v>15.12153209893979</v>
      </c>
      <c r="I126" s="45"/>
      <c r="J126" s="70">
        <v>1.0273883821371147E-2</v>
      </c>
      <c r="K126" s="46">
        <v>2.2537427708602103E-2</v>
      </c>
      <c r="L126" s="46">
        <v>4.0121558809484015E-4</v>
      </c>
      <c r="M126" s="46">
        <v>5.3155898472991383E-4</v>
      </c>
      <c r="N126" s="46">
        <v>1.5404107101623439E-4</v>
      </c>
      <c r="O126" s="46">
        <v>2.6462127976167892E-4</v>
      </c>
      <c r="P126" s="71">
        <v>1.6557865063880655E-4</v>
      </c>
      <c r="Q126" s="56" t="s">
        <v>34</v>
      </c>
      <c r="R126" s="31">
        <v>-3.1222427577643196E-4</v>
      </c>
    </row>
    <row r="127" spans="1:18" x14ac:dyDescent="0.25">
      <c r="A127" s="42"/>
      <c r="B127" s="51">
        <v>12</v>
      </c>
      <c r="C127" s="33">
        <f>C101+R102</f>
        <v>6.7833762272220604</v>
      </c>
      <c r="D127" s="32">
        <v>1000</v>
      </c>
      <c r="E127" s="32">
        <v>800</v>
      </c>
      <c r="F127" s="32">
        <v>120</v>
      </c>
      <c r="G127" s="29">
        <f t="shared" si="27"/>
        <v>41.970488648790216</v>
      </c>
      <c r="H127" s="29">
        <f t="shared" si="28"/>
        <v>11.44642452362684</v>
      </c>
      <c r="I127" s="45"/>
      <c r="J127" s="70">
        <v>5.0415934128054951E-4</v>
      </c>
      <c r="K127" s="46">
        <v>4.012155880948402E-4</v>
      </c>
      <c r="L127" s="46">
        <v>5.3962395984873028E-3</v>
      </c>
      <c r="M127" s="46">
        <v>3.2030276973484852E-3</v>
      </c>
      <c r="N127" s="46">
        <v>9.282089686526888E-4</v>
      </c>
      <c r="O127" s="46">
        <v>1.5945347792684222E-3</v>
      </c>
      <c r="P127" s="71">
        <v>9.9773123834066921E-4</v>
      </c>
      <c r="Q127" s="56" t="s">
        <v>35</v>
      </c>
      <c r="R127" s="31">
        <v>-6.2032159246006133E-4</v>
      </c>
    </row>
    <row r="128" spans="1:18" x14ac:dyDescent="0.25">
      <c r="A128" s="42"/>
      <c r="B128" s="51">
        <v>13</v>
      </c>
      <c r="C128" s="33">
        <f>C102+R103</f>
        <v>1.8481312090727264</v>
      </c>
      <c r="D128" s="32">
        <v>750</v>
      </c>
      <c r="E128" s="32">
        <v>763</v>
      </c>
      <c r="F128" s="32">
        <v>120</v>
      </c>
      <c r="G128" s="29">
        <f t="shared" si="27"/>
        <v>14.659224003703072</v>
      </c>
      <c r="H128" s="29">
        <f t="shared" si="28"/>
        <v>14.674047098884035</v>
      </c>
      <c r="I128" s="45"/>
      <c r="J128" s="70">
        <v>4.3269465977680168E-4</v>
      </c>
      <c r="K128" s="46">
        <v>5.3155898472991383E-4</v>
      </c>
      <c r="L128" s="46">
        <v>3.2030276973484843E-3</v>
      </c>
      <c r="M128" s="46">
        <v>7.5909921705121734E-3</v>
      </c>
      <c r="N128" s="46">
        <v>2.199802087092331E-3</v>
      </c>
      <c r="O128" s="46">
        <v>3.77895609053144E-3</v>
      </c>
      <c r="P128" s="71">
        <v>2.3645658839569566E-3</v>
      </c>
      <c r="Q128" s="56" t="s">
        <v>36</v>
      </c>
      <c r="R128" s="31">
        <v>-1.7359998482059215E-3</v>
      </c>
    </row>
    <row r="129" spans="1:18" x14ac:dyDescent="0.25">
      <c r="A129" s="42"/>
      <c r="B129" s="51">
        <v>14</v>
      </c>
      <c r="C129" s="33">
        <f>C103+R102-R103</f>
        <v>3.9352450181493341</v>
      </c>
      <c r="D129" s="32">
        <v>1000</v>
      </c>
      <c r="E129" s="32">
        <v>650</v>
      </c>
      <c r="F129" s="32">
        <v>120</v>
      </c>
      <c r="G129" s="29">
        <f t="shared" si="27"/>
        <v>12.453466584873231</v>
      </c>
      <c r="H129" s="29">
        <f t="shared" si="28"/>
        <v>5.8545053931229445</v>
      </c>
      <c r="I129" s="45"/>
      <c r="J129" s="70">
        <v>1.2539106802773745E-4</v>
      </c>
      <c r="K129" s="46">
        <v>1.5404107101623439E-4</v>
      </c>
      <c r="L129" s="46">
        <v>9.282089686526888E-4</v>
      </c>
      <c r="M129" s="46">
        <v>2.199802087092331E-3</v>
      </c>
      <c r="N129" s="46">
        <v>4.2395838849075239E-2</v>
      </c>
      <c r="O129" s="46">
        <v>1.820888977532313E-3</v>
      </c>
      <c r="P129" s="71">
        <v>9.6489177905043893E-3</v>
      </c>
      <c r="Q129" s="56" t="s">
        <v>37</v>
      </c>
      <c r="R129" s="31">
        <v>-9.277134908152303E-5</v>
      </c>
    </row>
    <row r="130" spans="1:18" x14ac:dyDescent="0.25">
      <c r="A130" s="42"/>
      <c r="B130" s="51">
        <v>15</v>
      </c>
      <c r="C130" s="33">
        <f>C104-R103+R105</f>
        <v>0.94584014744256162</v>
      </c>
      <c r="D130" s="32">
        <v>750</v>
      </c>
      <c r="E130" s="32">
        <v>400</v>
      </c>
      <c r="F130" s="32">
        <v>120</v>
      </c>
      <c r="G130" s="29">
        <f t="shared" si="27"/>
        <v>2.2256331418240016</v>
      </c>
      <c r="H130" s="29">
        <f t="shared" si="28"/>
        <v>4.35318940891589</v>
      </c>
      <c r="I130" s="45"/>
      <c r="J130" s="70">
        <v>2.1540453252682636E-4</v>
      </c>
      <c r="K130" s="46">
        <v>2.6462127976167892E-4</v>
      </c>
      <c r="L130" s="46">
        <v>1.594534779268422E-3</v>
      </c>
      <c r="M130" s="46">
        <v>3.7789560905314391E-3</v>
      </c>
      <c r="N130" s="46">
        <v>1.8208889775323128E-3</v>
      </c>
      <c r="O130" s="46">
        <v>9.7861896597549458E-3</v>
      </c>
      <c r="P130" s="71">
        <v>5.3255139115521927E-3</v>
      </c>
      <c r="Q130" s="56" t="s">
        <v>38</v>
      </c>
      <c r="R130" s="31">
        <v>-1.1621491566982901E-3</v>
      </c>
    </row>
    <row r="131" spans="1:18" x14ac:dyDescent="0.25">
      <c r="A131" s="42"/>
      <c r="B131" s="51">
        <v>16</v>
      </c>
      <c r="C131" s="33">
        <f>C105+R105</f>
        <v>1.7939713565152875</v>
      </c>
      <c r="D131" s="32">
        <v>750</v>
      </c>
      <c r="E131" s="32">
        <v>125</v>
      </c>
      <c r="F131" s="32">
        <v>120</v>
      </c>
      <c r="G131" s="29">
        <f t="shared" si="27"/>
        <v>2.2730001166847762</v>
      </c>
      <c r="H131" s="29">
        <f t="shared" si="28"/>
        <v>2.3439896075235929</v>
      </c>
      <c r="I131" s="45"/>
      <c r="J131" s="72">
        <v>1.3478278039240227E-4</v>
      </c>
      <c r="K131" s="73">
        <v>1.6557865063880655E-4</v>
      </c>
      <c r="L131" s="73">
        <v>9.97731238340669E-4</v>
      </c>
      <c r="M131" s="73">
        <v>2.3645658839569561E-3</v>
      </c>
      <c r="N131" s="73">
        <v>9.6489177905043893E-3</v>
      </c>
      <c r="O131" s="73">
        <v>5.3255139115521927E-3</v>
      </c>
      <c r="P131" s="74">
        <v>5.1970749975447234E-2</v>
      </c>
      <c r="Q131" s="56" t="s">
        <v>39</v>
      </c>
      <c r="R131" s="35">
        <v>-2.7613352314526502E-3</v>
      </c>
    </row>
    <row r="132" spans="1:18" x14ac:dyDescent="0.25">
      <c r="A132" s="42"/>
      <c r="B132" s="51">
        <v>17</v>
      </c>
      <c r="C132" s="33">
        <f>C106-R105</f>
        <v>-0.79397135651528783</v>
      </c>
      <c r="D132" s="32">
        <v>750</v>
      </c>
      <c r="E132" s="32">
        <v>400</v>
      </c>
      <c r="F132" s="32">
        <v>120</v>
      </c>
      <c r="G132" s="29">
        <f t="shared" si="27"/>
        <v>-1.6100141672689292</v>
      </c>
      <c r="H132" s="29">
        <f t="shared" si="28"/>
        <v>3.7514277876725495</v>
      </c>
      <c r="I132" s="45"/>
      <c r="J132" s="44"/>
      <c r="K132" s="44"/>
    </row>
    <row r="133" spans="1:18" x14ac:dyDescent="0.25">
      <c r="A133" s="42"/>
      <c r="B133" s="51">
        <v>18</v>
      </c>
      <c r="C133" s="33">
        <f>C107+R104-R105</f>
        <v>1.0485487471469752</v>
      </c>
      <c r="D133" s="32">
        <v>500</v>
      </c>
      <c r="E133" s="32">
        <v>125</v>
      </c>
      <c r="F133" s="32">
        <v>120</v>
      </c>
      <c r="G133" s="29">
        <f t="shared" si="27"/>
        <v>6.0630920759980524</v>
      </c>
      <c r="H133" s="29">
        <f t="shared" si="28"/>
        <v>10.697376131645074</v>
      </c>
      <c r="I133" s="45"/>
      <c r="J133" s="44"/>
      <c r="K133" s="44"/>
    </row>
    <row r="134" spans="1:18" x14ac:dyDescent="0.25">
      <c r="A134" s="42"/>
      <c r="B134" s="51">
        <v>19</v>
      </c>
      <c r="C134" s="33">
        <f>C108-R104</f>
        <v>-0.84252010366226293</v>
      </c>
      <c r="D134" s="32">
        <v>500</v>
      </c>
      <c r="E134" s="32">
        <v>800</v>
      </c>
      <c r="F134" s="32">
        <v>120</v>
      </c>
      <c r="G134" s="29">
        <f t="shared" si="27"/>
        <v>-25.888607088519827</v>
      </c>
      <c r="H134" s="29">
        <f t="shared" si="28"/>
        <v>56.846030030116282</v>
      </c>
      <c r="I134" s="45"/>
      <c r="J134" s="44"/>
      <c r="K134" s="44"/>
    </row>
    <row r="135" spans="1:18" x14ac:dyDescent="0.25">
      <c r="A135" s="42"/>
      <c r="B135" s="51">
        <v>20</v>
      </c>
      <c r="C135" s="33">
        <f>C109-R104</f>
        <v>0.15747989633773704</v>
      </c>
      <c r="D135" s="32">
        <v>500</v>
      </c>
      <c r="E135" s="32">
        <v>125</v>
      </c>
      <c r="F135" s="32">
        <v>120</v>
      </c>
      <c r="G135" s="29">
        <f t="shared" si="27"/>
        <v>0.18174885292705098</v>
      </c>
      <c r="H135" s="29">
        <f t="shared" si="28"/>
        <v>2.1351003254024365</v>
      </c>
      <c r="I135" s="45"/>
      <c r="J135" s="44"/>
      <c r="K135" s="44"/>
    </row>
    <row r="136" spans="1:18" x14ac:dyDescent="0.25">
      <c r="B136" s="51">
        <v>21</v>
      </c>
      <c r="C136" s="33">
        <f>C110+R102-R104</f>
        <v>0.94085612355979842</v>
      </c>
      <c r="D136" s="32">
        <v>500</v>
      </c>
      <c r="E136" s="32">
        <v>800</v>
      </c>
      <c r="F136" s="32">
        <v>120</v>
      </c>
      <c r="G136" s="29">
        <f t="shared" si="27"/>
        <v>31.754342844450033</v>
      </c>
      <c r="H136" s="29">
        <f t="shared" si="28"/>
        <v>62.43838222571641</v>
      </c>
    </row>
    <row r="137" spans="1:18" x14ac:dyDescent="0.25">
      <c r="B137" s="53">
        <v>22</v>
      </c>
      <c r="C137" s="37">
        <f>C111-R102</f>
        <v>0.21662377277793865</v>
      </c>
      <c r="D137" s="36">
        <v>500</v>
      </c>
      <c r="E137" s="36">
        <v>1000</v>
      </c>
      <c r="F137" s="36">
        <v>120</v>
      </c>
      <c r="G137" s="34">
        <f t="shared" si="27"/>
        <v>2.6227174543979159</v>
      </c>
      <c r="H137" s="34">
        <f t="shared" si="28"/>
        <v>22.398406363321747</v>
      </c>
    </row>
    <row r="139" spans="1:18" x14ac:dyDescent="0.25">
      <c r="A139" s="15" t="s">
        <v>25</v>
      </c>
    </row>
    <row r="140" spans="1:18" x14ac:dyDescent="0.25">
      <c r="A140" s="16">
        <f>A114+1</f>
        <v>5</v>
      </c>
      <c r="B140" s="26" t="s">
        <v>3</v>
      </c>
      <c r="C140" s="26" t="s">
        <v>4</v>
      </c>
      <c r="D140" s="26" t="s">
        <v>8</v>
      </c>
      <c r="E140" s="26" t="s">
        <v>6</v>
      </c>
      <c r="F140" s="26" t="s">
        <v>29</v>
      </c>
      <c r="G140" s="26" t="s">
        <v>23</v>
      </c>
      <c r="H140" s="26"/>
    </row>
    <row r="141" spans="1:18" x14ac:dyDescent="0.25">
      <c r="B141" s="27"/>
      <c r="C141" s="27" t="s">
        <v>5</v>
      </c>
      <c r="D141" s="27" t="s">
        <v>28</v>
      </c>
      <c r="E141" s="27" t="s">
        <v>7</v>
      </c>
      <c r="F141" s="27"/>
      <c r="G141" s="27" t="s">
        <v>30</v>
      </c>
      <c r="H141" s="27" t="s">
        <v>13</v>
      </c>
      <c r="J141" t="s">
        <v>19</v>
      </c>
      <c r="R141" t="s">
        <v>21</v>
      </c>
    </row>
    <row r="142" spans="1:18" x14ac:dyDescent="0.25">
      <c r="B142" s="51">
        <v>1</v>
      </c>
      <c r="C142" s="33">
        <f>C116+R125</f>
        <v>-0.53015313254216967</v>
      </c>
      <c r="D142" s="32">
        <v>1000</v>
      </c>
      <c r="E142" s="32">
        <v>1000</v>
      </c>
      <c r="F142" s="32">
        <v>100</v>
      </c>
      <c r="G142" s="29">
        <f>10.67*E142*ABS(C142)^1.85/(F142^1.85*(D142/1000)^4.87)*C142/ABS(C142)</f>
        <v>-0.65812271917428244</v>
      </c>
      <c r="H142" s="29">
        <f>ABS(G142*1.85/C142)</f>
        <v>2.2965572694707741</v>
      </c>
      <c r="J142" s="57">
        <f>H142+H143+H144+H145</f>
        <v>71.726025281476353</v>
      </c>
      <c r="K142" s="58">
        <f>-1*H143</f>
        <v>-32.611478696789</v>
      </c>
      <c r="L142" s="58">
        <f>-1*H144</f>
        <v>-4.2639927277595202</v>
      </c>
      <c r="M142" s="59">
        <v>0</v>
      </c>
      <c r="N142" s="59">
        <v>0</v>
      </c>
      <c r="O142" s="59">
        <v>0</v>
      </c>
      <c r="P142" s="19">
        <v>0</v>
      </c>
      <c r="R142" s="65">
        <f>-1*(G142+G143+G144-G145)</f>
        <v>2.9753320589520627E-6</v>
      </c>
    </row>
    <row r="143" spans="1:18" x14ac:dyDescent="0.25">
      <c r="B143" s="51">
        <v>2</v>
      </c>
      <c r="C143" s="33">
        <f>C117+R125-R126</f>
        <v>2.5354099620186199</v>
      </c>
      <c r="D143" s="32">
        <v>750</v>
      </c>
      <c r="E143" s="32">
        <v>925</v>
      </c>
      <c r="F143" s="32">
        <v>100</v>
      </c>
      <c r="G143" s="29">
        <f t="shared" ref="G143:G163" si="29">10.67*E143*ABS(C143)^1.85/(F143^1.85*(D143/1000)^4.87)*C143/ABS(C143)</f>
        <v>44.693766467025313</v>
      </c>
      <c r="H143" s="29">
        <f t="shared" ref="H143:H163" si="30">ABS(G143*1.85/C143)</f>
        <v>32.611478696789</v>
      </c>
      <c r="J143" s="60">
        <f>K142</f>
        <v>-32.611478696789</v>
      </c>
      <c r="K143" s="44">
        <f>H143+H150+H151+H152</f>
        <v>59.303340816186562</v>
      </c>
      <c r="L143" s="41">
        <v>0</v>
      </c>
      <c r="M143" s="44">
        <f>-1*H150</f>
        <v>-2.3109966474937913</v>
      </c>
      <c r="N143" s="41">
        <v>0</v>
      </c>
      <c r="O143" s="41">
        <v>0</v>
      </c>
      <c r="P143" s="61">
        <v>0</v>
      </c>
      <c r="R143" s="29">
        <f>-1*(G152-G150-G143-G151)</f>
        <v>-7.442305140159533E-6</v>
      </c>
    </row>
    <row r="144" spans="1:18" x14ac:dyDescent="0.25">
      <c r="B144" s="51">
        <v>3</v>
      </c>
      <c r="C144" s="33">
        <f>C118+R125-R127</f>
        <v>0.21122221873630867</v>
      </c>
      <c r="D144" s="32">
        <v>750</v>
      </c>
      <c r="E144" s="32">
        <v>1000</v>
      </c>
      <c r="F144" s="32">
        <v>100</v>
      </c>
      <c r="G144" s="29">
        <f t="shared" si="29"/>
        <v>0.4868378403420815</v>
      </c>
      <c r="H144" s="29">
        <f t="shared" si="30"/>
        <v>4.2639927277595202</v>
      </c>
      <c r="J144" s="60">
        <f>-1*H144</f>
        <v>-4.2639927277595202</v>
      </c>
      <c r="K144" s="41">
        <v>0</v>
      </c>
      <c r="L144" s="44">
        <f>H144+H146+H147+H148+H149</f>
        <v>247.66331369248297</v>
      </c>
      <c r="M144" s="62">
        <f>-1*H149</f>
        <v>-104.28818537051397</v>
      </c>
      <c r="N144" s="41">
        <v>0</v>
      </c>
      <c r="O144" s="41">
        <v>0</v>
      </c>
      <c r="P144" s="61">
        <v>0</v>
      </c>
      <c r="R144" s="29">
        <f>-1*(G149-G148-G147-G146-G144)</f>
        <v>-2.3061075227370775E-5</v>
      </c>
    </row>
    <row r="145" spans="1:18" x14ac:dyDescent="0.25">
      <c r="B145" s="51">
        <v>4</v>
      </c>
      <c r="C145" s="33">
        <f>C119-R125</f>
        <v>2.5301531325421696</v>
      </c>
      <c r="D145" s="32">
        <v>750</v>
      </c>
      <c r="E145" s="32">
        <v>925</v>
      </c>
      <c r="F145" s="32">
        <v>100</v>
      </c>
      <c r="G145" s="29">
        <f t="shared" si="29"/>
        <v>44.522484563525175</v>
      </c>
      <c r="H145" s="29">
        <f t="shared" si="30"/>
        <v>32.553996587457064</v>
      </c>
      <c r="J145" s="54">
        <v>0</v>
      </c>
      <c r="K145" s="44">
        <f>-1*H150</f>
        <v>-2.3109966474937913</v>
      </c>
      <c r="L145" s="44">
        <f>-1*H149</f>
        <v>-104.28818537051397</v>
      </c>
      <c r="M145" s="44">
        <f>H150+H153+H155+H162+H163+H149</f>
        <v>208.85244300654233</v>
      </c>
      <c r="N145" s="44">
        <f>-1*H155</f>
        <v>-5.8524273769668644</v>
      </c>
      <c r="O145" s="62">
        <f>-1*H162</f>
        <v>-62.406010479139091</v>
      </c>
      <c r="P145" s="61">
        <v>0</v>
      </c>
      <c r="R145" s="29">
        <f>-1*(G150+G153+G155+G162-G163-G149)</f>
        <v>1.6962269265263785E-4</v>
      </c>
    </row>
    <row r="146" spans="1:18" x14ac:dyDescent="0.25">
      <c r="B146" s="51">
        <v>5</v>
      </c>
      <c r="C146" s="33">
        <f>C120-R127</f>
        <v>1.7413753512784784</v>
      </c>
      <c r="D146" s="32">
        <v>500</v>
      </c>
      <c r="E146" s="32">
        <v>350</v>
      </c>
      <c r="F146" s="32">
        <v>100</v>
      </c>
      <c r="G146" s="29">
        <f t="shared" si="29"/>
        <v>60.799424633877159</v>
      </c>
      <c r="H146" s="29">
        <f t="shared" si="30"/>
        <v>64.59201084366633</v>
      </c>
      <c r="J146" s="54">
        <v>0</v>
      </c>
      <c r="K146" s="41">
        <v>0</v>
      </c>
      <c r="L146" s="41">
        <v>0</v>
      </c>
      <c r="M146" s="44">
        <f>-1*H155</f>
        <v>-5.8524273769668644</v>
      </c>
      <c r="N146" s="44">
        <f>H154+H155+H156</f>
        <v>24.868595902151789</v>
      </c>
      <c r="O146" s="41">
        <v>0</v>
      </c>
      <c r="P146" s="21">
        <f>-1*H156</f>
        <v>-4.3427475375990205</v>
      </c>
      <c r="R146" s="29">
        <f>-1*(G154-G156-G155)</f>
        <v>1.5609683527983975E-5</v>
      </c>
    </row>
    <row r="147" spans="1:18" x14ac:dyDescent="0.25">
      <c r="B147" s="51">
        <v>6</v>
      </c>
      <c r="C147" s="33">
        <f>C121-R127</f>
        <v>0.74137535127847831</v>
      </c>
      <c r="D147" s="32">
        <v>500</v>
      </c>
      <c r="E147" s="32">
        <v>671</v>
      </c>
      <c r="F147" s="32">
        <v>100</v>
      </c>
      <c r="G147" s="29">
        <f t="shared" si="29"/>
        <v>24.014501877912917</v>
      </c>
      <c r="H147" s="29">
        <f t="shared" si="30"/>
        <v>59.92487934421645</v>
      </c>
      <c r="J147" s="54">
        <v>0</v>
      </c>
      <c r="K147" s="41">
        <v>0</v>
      </c>
      <c r="L147" s="41">
        <v>0</v>
      </c>
      <c r="M147" s="62">
        <f>-1*H162</f>
        <v>-62.406010479139091</v>
      </c>
      <c r="N147" s="41">
        <v>0</v>
      </c>
      <c r="O147" s="44">
        <f>H159+H160+H161+H162</f>
        <v>132.04511165951362</v>
      </c>
      <c r="P147" s="21">
        <f>-1*H159</f>
        <v>-10.71124231424249</v>
      </c>
      <c r="R147" s="29">
        <f>-1*(G159-G160-G161-G162)</f>
        <v>-3.275153451554047E-5</v>
      </c>
    </row>
    <row r="148" spans="1:18" x14ac:dyDescent="0.25">
      <c r="B148" s="51">
        <v>7</v>
      </c>
      <c r="C148" s="33">
        <f>C122-R127</f>
        <v>-0.25862464872152169</v>
      </c>
      <c r="D148" s="32">
        <v>500</v>
      </c>
      <c r="E148" s="32">
        <v>400</v>
      </c>
      <c r="F148" s="32">
        <v>100</v>
      </c>
      <c r="G148" s="29">
        <f t="shared" si="29"/>
        <v>-2.0402332927388778</v>
      </c>
      <c r="H148" s="29">
        <f t="shared" si="30"/>
        <v>14.594245406326699</v>
      </c>
      <c r="J148" s="24">
        <v>0</v>
      </c>
      <c r="K148" s="63">
        <v>0</v>
      </c>
      <c r="L148" s="63">
        <v>0</v>
      </c>
      <c r="M148" s="63">
        <v>0</v>
      </c>
      <c r="N148" s="64">
        <f>-1*H156</f>
        <v>-4.3427475375990205</v>
      </c>
      <c r="O148" s="64">
        <f>-1*H159</f>
        <v>-10.71124231424249</v>
      </c>
      <c r="P148" s="23">
        <f>H156+H157+H158+H159</f>
        <v>21.135247291373187</v>
      </c>
      <c r="R148" s="34">
        <f>-1*(G156+G157-G158-G159)</f>
        <v>-2.2392385939262738E-5</v>
      </c>
    </row>
    <row r="149" spans="1:18" x14ac:dyDescent="0.25">
      <c r="A149" s="40"/>
      <c r="B149" s="51">
        <v>8</v>
      </c>
      <c r="C149" s="33">
        <f>C123+R127-R128</f>
        <v>1.4769844213476664</v>
      </c>
      <c r="D149" s="32">
        <v>500</v>
      </c>
      <c r="E149" s="32">
        <v>650</v>
      </c>
      <c r="F149" s="32">
        <v>100</v>
      </c>
      <c r="G149" s="29">
        <f t="shared" si="29"/>
        <v>83.260554120468512</v>
      </c>
      <c r="H149" s="29">
        <f t="shared" si="30"/>
        <v>104.28818537051397</v>
      </c>
      <c r="I149" s="41"/>
      <c r="J149" s="41"/>
      <c r="K149" s="41"/>
    </row>
    <row r="150" spans="1:18" x14ac:dyDescent="0.25">
      <c r="A150" s="42"/>
      <c r="B150" s="51">
        <v>9</v>
      </c>
      <c r="C150" s="33">
        <f>C124-R126+R128</f>
        <v>-0.15279667806535488</v>
      </c>
      <c r="D150" s="32">
        <v>750</v>
      </c>
      <c r="E150" s="32">
        <v>1000</v>
      </c>
      <c r="F150" s="32">
        <v>120</v>
      </c>
      <c r="G150" s="29">
        <f t="shared" si="29"/>
        <v>-0.19087168149039091</v>
      </c>
      <c r="H150" s="29">
        <f t="shared" si="30"/>
        <v>2.3109966474937913</v>
      </c>
      <c r="I150" s="41"/>
      <c r="J150" s="41" t="s">
        <v>31</v>
      </c>
      <c r="K150" s="41"/>
    </row>
    <row r="151" spans="1:18" x14ac:dyDescent="0.25">
      <c r="A151" s="42"/>
      <c r="B151" s="52">
        <v>10</v>
      </c>
      <c r="C151" s="33">
        <f>C125-R126</f>
        <v>4.0655630945607895</v>
      </c>
      <c r="D151" s="32">
        <v>1000</v>
      </c>
      <c r="E151" s="32">
        <v>1000</v>
      </c>
      <c r="F151" s="32">
        <v>120</v>
      </c>
      <c r="G151" s="29">
        <f t="shared" si="29"/>
        <v>20.349437980637411</v>
      </c>
      <c r="H151" s="29">
        <f t="shared" si="30"/>
        <v>9.2598391387764778</v>
      </c>
      <c r="I151" s="43"/>
      <c r="J151" s="66">
        <f t="array" ref="J151:P157">MINVERSE(J142:P148)</f>
        <v>1.8640003921995534E-2</v>
      </c>
      <c r="K151" s="67">
        <v>1.026718158256755E-2</v>
      </c>
      <c r="L151" s="68">
        <v>5.0314792657521826E-4</v>
      </c>
      <c r="M151" s="68">
        <v>4.3274740512536314E-4</v>
      </c>
      <c r="N151" s="68">
        <v>1.2540924217891393E-4</v>
      </c>
      <c r="O151" s="68">
        <v>2.1546959543947491E-4</v>
      </c>
      <c r="P151" s="69">
        <v>1.3496732195477975E-4</v>
      </c>
      <c r="Q151" s="56" t="s">
        <v>33</v>
      </c>
      <c r="R151" s="75">
        <f t="array" ref="R151:R157">MMULT(J151:P157,R142:R148)</f>
        <v>3.2727749219182497E-8</v>
      </c>
    </row>
    <row r="152" spans="1:18" x14ac:dyDescent="0.25">
      <c r="A152" s="42"/>
      <c r="B152" s="52">
        <v>11</v>
      </c>
      <c r="C152" s="33">
        <f>C126+R126</f>
        <v>7.9344369054392105</v>
      </c>
      <c r="D152" s="32">
        <v>1000</v>
      </c>
      <c r="E152" s="32">
        <v>925</v>
      </c>
      <c r="F152" s="32">
        <v>120</v>
      </c>
      <c r="G152" s="29">
        <f t="shared" si="29"/>
        <v>64.852340208477472</v>
      </c>
      <c r="H152" s="29">
        <f t="shared" si="30"/>
        <v>15.121026333127293</v>
      </c>
      <c r="I152" s="45"/>
      <c r="J152" s="70">
        <v>1.026718158256755E-2</v>
      </c>
      <c r="K152" s="46">
        <v>2.2529264901504364E-2</v>
      </c>
      <c r="L152" s="46">
        <v>4.0138046199765612E-4</v>
      </c>
      <c r="M152" s="46">
        <v>5.334068041309767E-4</v>
      </c>
      <c r="N152" s="46">
        <v>1.545801136803201E-4</v>
      </c>
      <c r="O152" s="46">
        <v>2.6558899471036625E-4</v>
      </c>
      <c r="P152" s="71">
        <v>1.6636145477327607E-4</v>
      </c>
      <c r="Q152" s="56" t="s">
        <v>34</v>
      </c>
      <c r="R152" s="31">
        <v>-6.5910486469411685E-8</v>
      </c>
    </row>
    <row r="153" spans="1:18" x14ac:dyDescent="0.25">
      <c r="A153" s="42"/>
      <c r="B153" s="51">
        <v>12</v>
      </c>
      <c r="C153" s="33">
        <f>C127+R128</f>
        <v>6.7816402273738543</v>
      </c>
      <c r="D153" s="32">
        <v>1000</v>
      </c>
      <c r="E153" s="32">
        <v>800</v>
      </c>
      <c r="F153" s="32">
        <v>120</v>
      </c>
      <c r="G153" s="29">
        <f t="shared" si="29"/>
        <v>41.950619818868361</v>
      </c>
      <c r="H153" s="29">
        <f t="shared" si="30"/>
        <v>11.443934514786243</v>
      </c>
      <c r="I153" s="45"/>
      <c r="J153" s="70">
        <v>5.0314792657521826E-4</v>
      </c>
      <c r="K153" s="46">
        <v>4.0138046199765618E-4</v>
      </c>
      <c r="L153" s="46">
        <v>5.3938156053557245E-3</v>
      </c>
      <c r="M153" s="46">
        <v>3.199833480495779E-3</v>
      </c>
      <c r="N153" s="46">
        <v>9.2730467504812048E-4</v>
      </c>
      <c r="O153" s="46">
        <v>1.5932315649966288E-3</v>
      </c>
      <c r="P153" s="71">
        <v>9.979793072095889E-4</v>
      </c>
      <c r="Q153" s="56" t="s">
        <v>35</v>
      </c>
      <c r="R153" s="31">
        <v>3.5683403595778131E-7</v>
      </c>
    </row>
    <row r="154" spans="1:18" x14ac:dyDescent="0.25">
      <c r="A154" s="42"/>
      <c r="B154" s="51">
        <v>13</v>
      </c>
      <c r="C154" s="33">
        <f>C128+R129</f>
        <v>1.848038437723645</v>
      </c>
      <c r="D154" s="32">
        <v>750</v>
      </c>
      <c r="E154" s="32">
        <v>763</v>
      </c>
      <c r="F154" s="32">
        <v>120</v>
      </c>
      <c r="G154" s="29">
        <f t="shared" si="29"/>
        <v>14.657862701599782</v>
      </c>
      <c r="H154" s="29">
        <f t="shared" si="30"/>
        <v>14.673420987585905</v>
      </c>
      <c r="I154" s="45"/>
      <c r="J154" s="70">
        <v>4.3274740512536314E-4</v>
      </c>
      <c r="K154" s="46">
        <v>5.3340680413097681E-4</v>
      </c>
      <c r="L154" s="46">
        <v>3.1998334804957795E-3</v>
      </c>
      <c r="M154" s="46">
        <v>7.581262713953269E-3</v>
      </c>
      <c r="N154" s="46">
        <v>2.1970331894669796E-3</v>
      </c>
      <c r="O154" s="46">
        <v>3.7747923859246866E-3</v>
      </c>
      <c r="P154" s="71">
        <v>2.3644803259801855E-3</v>
      </c>
      <c r="Q154" s="56" t="s">
        <v>36</v>
      </c>
      <c r="R154" s="31">
        <v>1.0671987793330464E-6</v>
      </c>
    </row>
    <row r="155" spans="1:18" x14ac:dyDescent="0.25">
      <c r="A155" s="42"/>
      <c r="B155" s="51">
        <v>14</v>
      </c>
      <c r="C155" s="33">
        <f>C129+R128-R129</f>
        <v>3.9336017896502096</v>
      </c>
      <c r="D155" s="32">
        <v>1000</v>
      </c>
      <c r="E155" s="32">
        <v>650</v>
      </c>
      <c r="F155" s="32">
        <v>120</v>
      </c>
      <c r="G155" s="29">
        <f t="shared" si="29"/>
        <v>12.443848002072832</v>
      </c>
      <c r="H155" s="29">
        <f t="shared" si="30"/>
        <v>5.8524273769668644</v>
      </c>
      <c r="I155" s="45"/>
      <c r="J155" s="70">
        <v>1.254092421789139E-4</v>
      </c>
      <c r="K155" s="46">
        <v>1.5458011368032007E-4</v>
      </c>
      <c r="L155" s="46">
        <v>9.2730467504812026E-4</v>
      </c>
      <c r="M155" s="46">
        <v>2.1970331894669796E-3</v>
      </c>
      <c r="N155" s="46">
        <v>4.241124985275023E-2</v>
      </c>
      <c r="O155" s="46">
        <v>1.8200624012672314E-3</v>
      </c>
      <c r="P155" s="71">
        <v>9.6368155746480548E-3</v>
      </c>
      <c r="Q155" s="56" t="s">
        <v>37</v>
      </c>
      <c r="R155" s="31">
        <v>7.3712980243788872E-7</v>
      </c>
    </row>
    <row r="156" spans="1:18" x14ac:dyDescent="0.25">
      <c r="A156" s="42"/>
      <c r="B156" s="51">
        <v>15</v>
      </c>
      <c r="C156" s="33">
        <f>C130-R129+R131</f>
        <v>0.94317158356019049</v>
      </c>
      <c r="D156" s="32">
        <v>750</v>
      </c>
      <c r="E156" s="32">
        <v>400</v>
      </c>
      <c r="F156" s="32">
        <v>120</v>
      </c>
      <c r="G156" s="29">
        <f t="shared" si="29"/>
        <v>2.2140303092104787</v>
      </c>
      <c r="H156" s="29">
        <f t="shared" si="30"/>
        <v>4.3427475375990205</v>
      </c>
      <c r="I156" s="45"/>
      <c r="J156" s="70">
        <v>2.1546959543947489E-4</v>
      </c>
      <c r="K156" s="46">
        <v>2.6558899471036625E-4</v>
      </c>
      <c r="L156" s="46">
        <v>1.5932315649966285E-3</v>
      </c>
      <c r="M156" s="46">
        <v>3.7747923859246862E-3</v>
      </c>
      <c r="N156" s="46">
        <v>1.8200624012672311E-3</v>
      </c>
      <c r="O156" s="46">
        <v>9.7899836868632975E-3</v>
      </c>
      <c r="P156" s="71">
        <v>5.3354927661471915E-3</v>
      </c>
      <c r="Q156" s="56" t="s">
        <v>38</v>
      </c>
      <c r="R156" s="31">
        <v>1.9051251124711967E-7</v>
      </c>
    </row>
    <row r="157" spans="1:18" x14ac:dyDescent="0.25">
      <c r="A157" s="42"/>
      <c r="B157" s="51">
        <v>16</v>
      </c>
      <c r="C157" s="33">
        <f>C131+R131</f>
        <v>1.7912100212838349</v>
      </c>
      <c r="D157" s="32">
        <v>750</v>
      </c>
      <c r="E157" s="32">
        <v>125</v>
      </c>
      <c r="F157" s="32">
        <v>120</v>
      </c>
      <c r="G157" s="29">
        <f t="shared" si="29"/>
        <v>2.26653181008645</v>
      </c>
      <c r="H157" s="29">
        <f t="shared" si="30"/>
        <v>2.340922504249153</v>
      </c>
      <c r="I157" s="45"/>
      <c r="J157" s="72">
        <v>1.3496732195477973E-4</v>
      </c>
      <c r="K157" s="73">
        <v>1.663614547732761E-4</v>
      </c>
      <c r="L157" s="73">
        <v>9.979793072095889E-4</v>
      </c>
      <c r="M157" s="73">
        <v>2.364480325980186E-3</v>
      </c>
      <c r="N157" s="73">
        <v>9.6368155746480548E-3</v>
      </c>
      <c r="O157" s="73">
        <v>5.3354927661471924E-3</v>
      </c>
      <c r="P157" s="74">
        <v>5.1998445906037256E-2</v>
      </c>
      <c r="Q157" s="56" t="s">
        <v>39</v>
      </c>
      <c r="R157" s="35">
        <v>-8.1146869949198018E-7</v>
      </c>
    </row>
    <row r="158" spans="1:18" x14ac:dyDescent="0.25">
      <c r="A158" s="42"/>
      <c r="B158" s="51">
        <v>17</v>
      </c>
      <c r="C158" s="33">
        <f>C132-R131</f>
        <v>-0.79121002128383522</v>
      </c>
      <c r="D158" s="32">
        <v>750</v>
      </c>
      <c r="E158" s="32">
        <v>400</v>
      </c>
      <c r="F158" s="32">
        <v>120</v>
      </c>
      <c r="G158" s="29">
        <f t="shared" si="29"/>
        <v>-1.5996705317586797</v>
      </c>
      <c r="H158" s="29">
        <f t="shared" si="30"/>
        <v>3.7403349352825233</v>
      </c>
      <c r="I158" s="45"/>
      <c r="J158" s="44"/>
      <c r="K158" s="44"/>
    </row>
    <row r="159" spans="1:18" x14ac:dyDescent="0.25">
      <c r="A159" s="42"/>
      <c r="B159" s="51">
        <v>18</v>
      </c>
      <c r="C159" s="33">
        <f>C133+R130-R131</f>
        <v>1.0501479332217296</v>
      </c>
      <c r="D159" s="32">
        <v>500</v>
      </c>
      <c r="E159" s="32">
        <v>125</v>
      </c>
      <c r="F159" s="32">
        <v>120</v>
      </c>
      <c r="G159" s="29">
        <f t="shared" si="29"/>
        <v>6.0802102586696689</v>
      </c>
      <c r="H159" s="29">
        <f t="shared" si="30"/>
        <v>10.71124231424249</v>
      </c>
      <c r="I159" s="45"/>
      <c r="J159" s="44"/>
      <c r="K159" s="44"/>
    </row>
    <row r="160" spans="1:18" x14ac:dyDescent="0.25">
      <c r="A160" s="42"/>
      <c r="B160" s="51">
        <v>19</v>
      </c>
      <c r="C160" s="33">
        <f>C134-R130</f>
        <v>-0.84135795450556461</v>
      </c>
      <c r="D160" s="32">
        <v>500</v>
      </c>
      <c r="E160" s="32">
        <v>800</v>
      </c>
      <c r="F160" s="32">
        <v>120</v>
      </c>
      <c r="G160" s="29">
        <f t="shared" si="29"/>
        <v>-25.82258225399702</v>
      </c>
      <c r="H160" s="29">
        <f t="shared" si="30"/>
        <v>56.779373052897824</v>
      </c>
      <c r="I160" s="45"/>
      <c r="J160" s="44"/>
      <c r="K160" s="44"/>
    </row>
    <row r="161" spans="1:11" x14ac:dyDescent="0.25">
      <c r="A161" s="42"/>
      <c r="B161" s="51">
        <v>20</v>
      </c>
      <c r="C161" s="33">
        <f>C135-R130</f>
        <v>0.15864204549443534</v>
      </c>
      <c r="D161" s="32">
        <v>500</v>
      </c>
      <c r="E161" s="32">
        <v>125</v>
      </c>
      <c r="F161" s="32">
        <v>120</v>
      </c>
      <c r="G161" s="29">
        <f t="shared" si="29"/>
        <v>0.18423793736608041</v>
      </c>
      <c r="H161" s="29">
        <f t="shared" si="30"/>
        <v>2.1484858132341995</v>
      </c>
      <c r="I161" s="45"/>
      <c r="J161" s="44"/>
      <c r="K161" s="44"/>
    </row>
    <row r="162" spans="1:11" x14ac:dyDescent="0.25">
      <c r="B162" s="51">
        <v>21</v>
      </c>
      <c r="C162" s="33">
        <f>C136+R128-R130</f>
        <v>0.9402822728682908</v>
      </c>
      <c r="D162" s="32">
        <v>500</v>
      </c>
      <c r="E162" s="32">
        <v>800</v>
      </c>
      <c r="F162" s="32">
        <v>120</v>
      </c>
      <c r="G162" s="29">
        <f t="shared" si="29"/>
        <v>31.718521823766093</v>
      </c>
      <c r="H162" s="29">
        <f t="shared" si="30"/>
        <v>62.406010479139091</v>
      </c>
    </row>
    <row r="163" spans="1:11" x14ac:dyDescent="0.25">
      <c r="B163" s="53">
        <v>22</v>
      </c>
      <c r="C163" s="37">
        <f>C137-R128</f>
        <v>0.21835977262614456</v>
      </c>
      <c r="D163" s="36">
        <v>500</v>
      </c>
      <c r="E163" s="36">
        <v>1000</v>
      </c>
      <c r="F163" s="36">
        <v>120</v>
      </c>
      <c r="G163" s="34">
        <f t="shared" si="29"/>
        <v>2.661733465441027</v>
      </c>
      <c r="H163" s="34">
        <f t="shared" si="30"/>
        <v>22.550888617642372</v>
      </c>
    </row>
  </sheetData>
  <mergeCells count="1">
    <mergeCell ref="B2:R2"/>
  </mergeCells>
  <hyperlinks>
    <hyperlink ref="B3" r:id="rId1"/>
  </hyperlinks>
  <pageMargins left="0.25" right="0.25" top="0.75" bottom="0.75" header="0.3" footer="0.3"/>
  <pageSetup paperSize="9" scale="84" orientation="landscape" horizontalDpi="4294967293" verticalDpi="4294967293" r:id="rId2"/>
  <rowBreaks count="5" manualBreakCount="5">
    <brk id="34" max="16383" man="1"/>
    <brk id="60" max="16383" man="1"/>
    <brk id="86" max="16383" man="1"/>
    <brk id="112" max="16383" man="1"/>
    <brk id="138" max="16383" man="1"/>
  </rowBreaks>
  <colBreaks count="1" manualBreakCount="1">
    <brk id="18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Example 1</vt:lpstr>
      <vt:lpstr>Example 2</vt:lpstr>
      <vt:lpstr>Example 3</vt:lpstr>
      <vt:lpstr>'Example 1'!Print_Area</vt:lpstr>
      <vt:lpstr>'Example 2'!Print_Area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cp:lastPrinted>2015-01-10T06:04:20Z</cp:lastPrinted>
  <dcterms:created xsi:type="dcterms:W3CDTF">2015-01-04T13:54:30Z</dcterms:created>
  <dcterms:modified xsi:type="dcterms:W3CDTF">2015-12-17T17:18:28Z</dcterms:modified>
</cp:coreProperties>
</file>