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anuel Eric\Desktop\McKinsey &amp; Co. LLP\JSChannel Conference 2016\"/>
    </mc:Choice>
  </mc:AlternateContent>
  <bookViews>
    <workbookView xWindow="480" yWindow="600" windowWidth="19875" windowHeight="7470"/>
  </bookViews>
  <sheets>
    <sheet name="IE Statement" sheetId="5" r:id="rId1"/>
    <sheet name="Summary_Registration Fee" sheetId="1" r:id="rId2"/>
    <sheet name="Sponsorship Fee" sheetId="4" r:id="rId3"/>
    <sheet name="Input Data_Site" sheetId="3" r:id="rId4"/>
  </sheets>
  <definedNames>
    <definedName name="_xlnm._FilterDatabase" localSheetId="3" hidden="1">'Input Data_Site'!$A$1:$Z$70</definedName>
  </definedNames>
  <calcPr calcId="152511"/>
  <pivotCaches>
    <pivotCache cacheId="349" r:id="rId5"/>
  </pivotCaches>
</workbook>
</file>

<file path=xl/calcChain.xml><?xml version="1.0" encoding="utf-8"?>
<calcChain xmlns="http://schemas.openxmlformats.org/spreadsheetml/2006/main">
  <c r="E20" i="5" l="1"/>
  <c r="D9" i="5"/>
  <c r="D8" i="5"/>
  <c r="D7" i="5"/>
  <c r="D6" i="5"/>
  <c r="I52" i="1" l="1"/>
  <c r="H52" i="1"/>
  <c r="F52" i="1"/>
  <c r="H51" i="1"/>
  <c r="I51" i="1" s="1"/>
  <c r="F51" i="1"/>
  <c r="H50" i="1"/>
  <c r="I50" i="1" s="1"/>
  <c r="F50" i="1"/>
  <c r="H49" i="1"/>
  <c r="I49" i="1" s="1"/>
  <c r="F49" i="1"/>
  <c r="H48" i="1"/>
  <c r="I48" i="1" s="1"/>
  <c r="F48" i="1"/>
  <c r="M227" i="3"/>
  <c r="L227" i="3"/>
  <c r="K227" i="3"/>
  <c r="J227" i="3"/>
  <c r="D227" i="3"/>
  <c r="M226" i="3"/>
  <c r="L226" i="3"/>
  <c r="K226" i="3"/>
  <c r="J226" i="3"/>
  <c r="D226" i="3"/>
  <c r="M225" i="3"/>
  <c r="L225" i="3"/>
  <c r="K225" i="3"/>
  <c r="J225" i="3"/>
  <c r="D225" i="3"/>
  <c r="M224" i="3"/>
  <c r="L224" i="3"/>
  <c r="K224" i="3"/>
  <c r="J224" i="3"/>
  <c r="D224" i="3"/>
  <c r="M223" i="3"/>
  <c r="L223" i="3"/>
  <c r="K223" i="3"/>
  <c r="J223" i="3"/>
  <c r="D223" i="3"/>
  <c r="M222" i="3"/>
  <c r="L222" i="3"/>
  <c r="K222" i="3"/>
  <c r="J222" i="3"/>
  <c r="D222" i="3"/>
  <c r="M221" i="3"/>
  <c r="L221" i="3"/>
  <c r="K221" i="3"/>
  <c r="J221" i="3"/>
  <c r="D221" i="3"/>
  <c r="M220" i="3"/>
  <c r="L220" i="3"/>
  <c r="K220" i="3"/>
  <c r="J220" i="3"/>
  <c r="D220" i="3"/>
  <c r="M219" i="3"/>
  <c r="L219" i="3"/>
  <c r="K219" i="3"/>
  <c r="J219" i="3"/>
  <c r="D219" i="3"/>
  <c r="M218" i="3"/>
  <c r="L218" i="3"/>
  <c r="K218" i="3"/>
  <c r="J218" i="3"/>
  <c r="D218" i="3"/>
  <c r="M217" i="3"/>
  <c r="L217" i="3"/>
  <c r="K217" i="3"/>
  <c r="J217" i="3"/>
  <c r="D217" i="3"/>
  <c r="M216" i="3"/>
  <c r="L216" i="3"/>
  <c r="K216" i="3"/>
  <c r="J216" i="3"/>
  <c r="D216" i="3"/>
  <c r="M215" i="3"/>
  <c r="L215" i="3"/>
  <c r="K215" i="3"/>
  <c r="J215" i="3"/>
  <c r="D215" i="3"/>
  <c r="H47" i="1"/>
  <c r="I47" i="1" s="1"/>
  <c r="F47" i="1"/>
  <c r="H46" i="1"/>
  <c r="I46" i="1" s="1"/>
  <c r="F46" i="1"/>
  <c r="H45" i="1"/>
  <c r="I45" i="1" s="1"/>
  <c r="F45" i="1"/>
  <c r="M214" i="3"/>
  <c r="L214" i="3"/>
  <c r="K214" i="3"/>
  <c r="J214" i="3"/>
  <c r="D214" i="3"/>
  <c r="M213" i="3"/>
  <c r="L213" i="3"/>
  <c r="K213" i="3"/>
  <c r="J213" i="3"/>
  <c r="D213" i="3"/>
  <c r="M212" i="3"/>
  <c r="L212" i="3"/>
  <c r="K212" i="3"/>
  <c r="J212" i="3"/>
  <c r="D212" i="3"/>
  <c r="M211" i="3"/>
  <c r="L211" i="3"/>
  <c r="K211" i="3"/>
  <c r="J211" i="3"/>
  <c r="D211" i="3"/>
  <c r="M210" i="3"/>
  <c r="L210" i="3"/>
  <c r="K210" i="3"/>
  <c r="J210" i="3"/>
  <c r="D210" i="3"/>
  <c r="M209" i="3"/>
  <c r="L209" i="3"/>
  <c r="K209" i="3"/>
  <c r="J209" i="3"/>
  <c r="D209" i="3"/>
  <c r="M208" i="3"/>
  <c r="L208" i="3"/>
  <c r="K208" i="3"/>
  <c r="J208" i="3"/>
  <c r="D208" i="3"/>
  <c r="M207" i="3"/>
  <c r="L207" i="3"/>
  <c r="K207" i="3"/>
  <c r="J207" i="3"/>
  <c r="D207" i="3"/>
  <c r="H44" i="1"/>
  <c r="I44" i="1" s="1"/>
  <c r="F44" i="1"/>
  <c r="H43" i="1"/>
  <c r="I43" i="1" s="1"/>
  <c r="F43" i="1"/>
  <c r="M206" i="3"/>
  <c r="L206" i="3"/>
  <c r="K206" i="3"/>
  <c r="J206" i="3"/>
  <c r="D206" i="3"/>
  <c r="M205" i="3"/>
  <c r="L205" i="3"/>
  <c r="K205" i="3"/>
  <c r="J205" i="3"/>
  <c r="D205" i="3"/>
  <c r="M204" i="3"/>
  <c r="L204" i="3"/>
  <c r="K204" i="3"/>
  <c r="J204" i="3"/>
  <c r="D204" i="3"/>
  <c r="M203" i="3"/>
  <c r="L203" i="3"/>
  <c r="K203" i="3"/>
  <c r="J203" i="3"/>
  <c r="D203" i="3"/>
  <c r="C9" i="5" l="1"/>
  <c r="C8" i="5"/>
  <c r="C7" i="5"/>
  <c r="C6" i="5"/>
  <c r="F42" i="1"/>
  <c r="H42" i="1" s="1"/>
  <c r="I42" i="1" s="1"/>
  <c r="F41" i="1"/>
  <c r="H41" i="1" s="1"/>
  <c r="I41" i="1" s="1"/>
  <c r="H40" i="1"/>
  <c r="I40" i="1" s="1"/>
  <c r="F40" i="1"/>
  <c r="F39" i="1"/>
  <c r="H39" i="1" s="1"/>
  <c r="I39" i="1" s="1"/>
  <c r="M202" i="3"/>
  <c r="J202" i="3"/>
  <c r="D202" i="3"/>
  <c r="M201" i="3"/>
  <c r="J201" i="3"/>
  <c r="D201" i="3"/>
  <c r="M200" i="3"/>
  <c r="K200" i="3"/>
  <c r="J200" i="3"/>
  <c r="D200" i="3"/>
  <c r="M199" i="3"/>
  <c r="K199" i="3"/>
  <c r="J199" i="3"/>
  <c r="D199" i="3"/>
  <c r="M198" i="3"/>
  <c r="K198" i="3"/>
  <c r="J198" i="3"/>
  <c r="D198" i="3"/>
  <c r="M197" i="3"/>
  <c r="K197" i="3"/>
  <c r="J197" i="3"/>
  <c r="D197" i="3"/>
  <c r="M196" i="3"/>
  <c r="K196" i="3"/>
  <c r="J196" i="3"/>
  <c r="D196" i="3"/>
  <c r="M195" i="3"/>
  <c r="K195" i="3"/>
  <c r="J195" i="3"/>
  <c r="D195" i="3"/>
  <c r="M194" i="3"/>
  <c r="K194" i="3"/>
  <c r="J194" i="3"/>
  <c r="D194" i="3"/>
  <c r="M193" i="3"/>
  <c r="K193" i="3"/>
  <c r="J193" i="3"/>
  <c r="D193" i="3"/>
  <c r="M192" i="3"/>
  <c r="K192" i="3"/>
  <c r="J192" i="3"/>
  <c r="D192" i="3"/>
  <c r="M191" i="3"/>
  <c r="K191" i="3"/>
  <c r="J191" i="3"/>
  <c r="D191" i="3"/>
  <c r="M190" i="3"/>
  <c r="K190" i="3"/>
  <c r="J190" i="3"/>
  <c r="D190" i="3"/>
  <c r="M189" i="3"/>
  <c r="K189" i="3"/>
  <c r="J189" i="3"/>
  <c r="D189" i="3"/>
  <c r="M188" i="3"/>
  <c r="K188" i="3"/>
  <c r="J188" i="3"/>
  <c r="D188" i="3"/>
  <c r="M187" i="3"/>
  <c r="K187" i="3"/>
  <c r="J187" i="3"/>
  <c r="D187" i="3"/>
  <c r="M186" i="3"/>
  <c r="K186" i="3"/>
  <c r="J186" i="3"/>
  <c r="D186" i="3"/>
  <c r="M185" i="3"/>
  <c r="K185" i="3"/>
  <c r="J185" i="3"/>
  <c r="D185" i="3"/>
  <c r="M184" i="3"/>
  <c r="K184" i="3"/>
  <c r="J184" i="3"/>
  <c r="D184" i="3"/>
  <c r="S231" i="3" l="1"/>
  <c r="R231" i="3"/>
  <c r="Q231" i="3"/>
  <c r="M183" i="3"/>
  <c r="J183" i="3"/>
  <c r="D183" i="3"/>
  <c r="M182" i="3"/>
  <c r="J182" i="3"/>
  <c r="D182" i="3"/>
  <c r="M181" i="3"/>
  <c r="J181" i="3"/>
  <c r="D181" i="3"/>
  <c r="M180" i="3"/>
  <c r="J180" i="3"/>
  <c r="D180" i="3"/>
  <c r="M179" i="3"/>
  <c r="J179" i="3"/>
  <c r="D179" i="3"/>
  <c r="M178" i="3"/>
  <c r="J178" i="3"/>
  <c r="D178" i="3"/>
  <c r="M177" i="3"/>
  <c r="J177" i="3"/>
  <c r="D177" i="3"/>
  <c r="M176" i="3"/>
  <c r="J176" i="3"/>
  <c r="D176" i="3"/>
  <c r="M175" i="3"/>
  <c r="J175" i="3"/>
  <c r="D175" i="3"/>
  <c r="M174" i="3"/>
  <c r="J174" i="3"/>
  <c r="D174" i="3"/>
  <c r="M173" i="3"/>
  <c r="J173" i="3"/>
  <c r="D173" i="3"/>
  <c r="M172" i="3"/>
  <c r="J172" i="3"/>
  <c r="D172" i="3"/>
  <c r="M171" i="3"/>
  <c r="J171" i="3"/>
  <c r="D171" i="3"/>
  <c r="M170" i="3"/>
  <c r="J170" i="3"/>
  <c r="D170" i="3"/>
  <c r="M169" i="3"/>
  <c r="J169" i="3"/>
  <c r="D169" i="3"/>
  <c r="M168" i="3"/>
  <c r="J168" i="3"/>
  <c r="D168" i="3"/>
  <c r="M167" i="3"/>
  <c r="J167" i="3"/>
  <c r="D167" i="3"/>
  <c r="M166" i="3"/>
  <c r="J166" i="3"/>
  <c r="D166" i="3"/>
  <c r="M165" i="3"/>
  <c r="J165" i="3"/>
  <c r="D165" i="3"/>
  <c r="M164" i="3"/>
  <c r="J164" i="3"/>
  <c r="D164" i="3"/>
  <c r="M163" i="3"/>
  <c r="J163" i="3"/>
  <c r="D163" i="3"/>
  <c r="M162" i="3"/>
  <c r="J162" i="3"/>
  <c r="D162" i="3"/>
  <c r="M161" i="3"/>
  <c r="J161" i="3"/>
  <c r="D161" i="3"/>
  <c r="M160" i="3"/>
  <c r="J160" i="3"/>
  <c r="D160" i="3"/>
  <c r="M159" i="3"/>
  <c r="J159" i="3"/>
  <c r="D159" i="3"/>
  <c r="M158" i="3"/>
  <c r="J158" i="3"/>
  <c r="D158" i="3"/>
  <c r="M157" i="3"/>
  <c r="J157" i="3"/>
  <c r="D157" i="3"/>
  <c r="M156" i="3"/>
  <c r="J156" i="3"/>
  <c r="D156" i="3"/>
  <c r="M155" i="3"/>
  <c r="J155" i="3"/>
  <c r="D155" i="3"/>
  <c r="M154" i="3"/>
  <c r="J154" i="3"/>
  <c r="D154" i="3"/>
  <c r="M153" i="3"/>
  <c r="J153" i="3"/>
  <c r="D153" i="3"/>
  <c r="M152" i="3"/>
  <c r="J152" i="3"/>
  <c r="D152" i="3"/>
  <c r="M151" i="3"/>
  <c r="J151" i="3"/>
  <c r="D151" i="3"/>
  <c r="M150" i="3"/>
  <c r="J150" i="3"/>
  <c r="D150" i="3"/>
  <c r="M149" i="3"/>
  <c r="J149" i="3"/>
  <c r="D149" i="3"/>
  <c r="M148" i="3"/>
  <c r="J148" i="3"/>
  <c r="D148" i="3"/>
  <c r="M147" i="3"/>
  <c r="J147" i="3"/>
  <c r="D147" i="3"/>
  <c r="M146" i="3"/>
  <c r="J146" i="3"/>
  <c r="D146" i="3"/>
  <c r="M145" i="3"/>
  <c r="J145" i="3"/>
  <c r="D145" i="3"/>
  <c r="M144" i="3"/>
  <c r="J144" i="3"/>
  <c r="D144" i="3"/>
  <c r="H38" i="1" l="1"/>
  <c r="I38" i="1" s="1"/>
  <c r="F38" i="1"/>
  <c r="F37" i="1"/>
  <c r="H37" i="1" s="1"/>
  <c r="I37" i="1" s="1"/>
  <c r="H36" i="1"/>
  <c r="I36" i="1" s="1"/>
  <c r="F36" i="1"/>
  <c r="F35" i="1"/>
  <c r="H35" i="1" s="1"/>
  <c r="I35" i="1" s="1"/>
  <c r="F34" i="1"/>
  <c r="H34" i="1" s="1"/>
  <c r="I34" i="1" s="1"/>
  <c r="F33" i="1"/>
  <c r="H33" i="1" s="1"/>
  <c r="I33" i="1" s="1"/>
  <c r="F32" i="1"/>
  <c r="H32" i="1" s="1"/>
  <c r="I32" i="1" s="1"/>
  <c r="F31" i="1"/>
  <c r="H31" i="1" s="1"/>
  <c r="I31" i="1" s="1"/>
  <c r="H30" i="1"/>
  <c r="I30" i="1" s="1"/>
  <c r="F30" i="1"/>
  <c r="F29" i="1"/>
  <c r="H29" i="1" s="1"/>
  <c r="I29" i="1" s="1"/>
  <c r="H28" i="1"/>
  <c r="I28" i="1" s="1"/>
  <c r="F28" i="1"/>
  <c r="F27" i="1"/>
  <c r="H27" i="1" s="1"/>
  <c r="I27" i="1" s="1"/>
  <c r="E4" i="5" l="1"/>
  <c r="F26" i="1"/>
  <c r="F25" i="1"/>
  <c r="F24" i="1"/>
  <c r="H24" i="1" s="1"/>
  <c r="I24" i="1" s="1"/>
  <c r="F23" i="1"/>
  <c r="H23" i="1" s="1"/>
  <c r="I23" i="1" s="1"/>
  <c r="M127" i="3"/>
  <c r="J127" i="3"/>
  <c r="D127" i="3"/>
  <c r="M128" i="3"/>
  <c r="J128" i="3"/>
  <c r="D128" i="3"/>
  <c r="M140" i="3"/>
  <c r="J140" i="3"/>
  <c r="D140" i="3"/>
  <c r="M139" i="3"/>
  <c r="J139" i="3"/>
  <c r="D139" i="3"/>
  <c r="M138" i="3"/>
  <c r="J138" i="3"/>
  <c r="D138" i="3"/>
  <c r="M137" i="3"/>
  <c r="J137" i="3"/>
  <c r="D137" i="3"/>
  <c r="M136" i="3"/>
  <c r="J136" i="3"/>
  <c r="D136" i="3"/>
  <c r="M135" i="3"/>
  <c r="J135" i="3"/>
  <c r="D135" i="3"/>
  <c r="M129" i="3"/>
  <c r="J129" i="3"/>
  <c r="D129" i="3"/>
  <c r="M130" i="3"/>
  <c r="J130" i="3"/>
  <c r="D130" i="3"/>
  <c r="M131" i="3"/>
  <c r="J131" i="3"/>
  <c r="D131" i="3"/>
  <c r="M132" i="3"/>
  <c r="J132" i="3"/>
  <c r="D132" i="3"/>
  <c r="M134" i="3"/>
  <c r="J134" i="3"/>
  <c r="D134" i="3"/>
  <c r="M133" i="3"/>
  <c r="J133" i="3"/>
  <c r="D133" i="3"/>
  <c r="M143" i="3"/>
  <c r="J143" i="3"/>
  <c r="D143" i="3"/>
  <c r="M142" i="3"/>
  <c r="J142" i="3"/>
  <c r="D142" i="3"/>
  <c r="M141" i="3"/>
  <c r="J141" i="3"/>
  <c r="D141" i="3"/>
  <c r="H25" i="1" l="1"/>
  <c r="I25" i="1" s="1"/>
  <c r="H26" i="1"/>
  <c r="I26" i="1" s="1"/>
  <c r="F22" i="1"/>
  <c r="M126" i="3"/>
  <c r="J126" i="3"/>
  <c r="D126" i="3"/>
  <c r="F21" i="1"/>
  <c r="H21" i="1" s="1"/>
  <c r="I21" i="1" s="1"/>
  <c r="F20" i="1"/>
  <c r="H20" i="1" s="1"/>
  <c r="I20" i="1" s="1"/>
  <c r="D124" i="3"/>
  <c r="J124" i="3"/>
  <c r="M124" i="3"/>
  <c r="D125" i="3"/>
  <c r="J125" i="3"/>
  <c r="M125" i="3"/>
  <c r="F19" i="1"/>
  <c r="M123" i="3"/>
  <c r="L123" i="3"/>
  <c r="K123" i="3"/>
  <c r="J123" i="3"/>
  <c r="D123" i="3"/>
  <c r="F18" i="1"/>
  <c r="H18" i="1" s="1"/>
  <c r="I18" i="1" s="1"/>
  <c r="D122" i="3"/>
  <c r="J122" i="3"/>
  <c r="K122" i="3"/>
  <c r="L122" i="3"/>
  <c r="M122" i="3"/>
  <c r="H17" i="1"/>
  <c r="I17" i="1" s="1"/>
  <c r="F17" i="1"/>
  <c r="D111" i="3"/>
  <c r="J111" i="3"/>
  <c r="K111" i="3"/>
  <c r="L111" i="3"/>
  <c r="M111" i="3"/>
  <c r="D112" i="3"/>
  <c r="J112" i="3"/>
  <c r="K112" i="3"/>
  <c r="L112" i="3"/>
  <c r="M112" i="3"/>
  <c r="D113" i="3"/>
  <c r="J113" i="3"/>
  <c r="K113" i="3"/>
  <c r="L113" i="3"/>
  <c r="M113" i="3"/>
  <c r="D114" i="3"/>
  <c r="J114" i="3"/>
  <c r="K114" i="3"/>
  <c r="L114" i="3"/>
  <c r="M114" i="3"/>
  <c r="D115" i="3"/>
  <c r="J115" i="3"/>
  <c r="K115" i="3"/>
  <c r="L115" i="3"/>
  <c r="M115" i="3"/>
  <c r="D116" i="3"/>
  <c r="J116" i="3"/>
  <c r="K116" i="3"/>
  <c r="L116" i="3"/>
  <c r="M116" i="3"/>
  <c r="D117" i="3"/>
  <c r="J117" i="3"/>
  <c r="K117" i="3"/>
  <c r="L117" i="3"/>
  <c r="M117" i="3"/>
  <c r="D118" i="3"/>
  <c r="J118" i="3"/>
  <c r="K118" i="3"/>
  <c r="L118" i="3"/>
  <c r="M118" i="3"/>
  <c r="D119" i="3"/>
  <c r="J119" i="3"/>
  <c r="K119" i="3"/>
  <c r="L119" i="3"/>
  <c r="M119" i="3"/>
  <c r="D120" i="3"/>
  <c r="J120" i="3"/>
  <c r="K120" i="3"/>
  <c r="L120" i="3"/>
  <c r="M120" i="3"/>
  <c r="D121" i="3"/>
  <c r="J121" i="3"/>
  <c r="K121" i="3"/>
  <c r="L121" i="3"/>
  <c r="M121" i="3"/>
  <c r="F16" i="1"/>
  <c r="H16" i="1" s="1"/>
  <c r="I16" i="1" s="1"/>
  <c r="D95" i="3"/>
  <c r="J95" i="3"/>
  <c r="K95" i="3"/>
  <c r="L95" i="3"/>
  <c r="M95" i="3"/>
  <c r="D96" i="3"/>
  <c r="J96" i="3"/>
  <c r="K96" i="3"/>
  <c r="L96" i="3"/>
  <c r="M96" i="3"/>
  <c r="D97" i="3"/>
  <c r="J97" i="3"/>
  <c r="K97" i="3"/>
  <c r="L97" i="3"/>
  <c r="M97" i="3"/>
  <c r="D98" i="3"/>
  <c r="J98" i="3"/>
  <c r="K98" i="3"/>
  <c r="L98" i="3"/>
  <c r="M98" i="3"/>
  <c r="D99" i="3"/>
  <c r="J99" i="3"/>
  <c r="K99" i="3"/>
  <c r="L99" i="3"/>
  <c r="M99" i="3"/>
  <c r="D100" i="3"/>
  <c r="J100" i="3"/>
  <c r="K100" i="3"/>
  <c r="L100" i="3"/>
  <c r="M100" i="3"/>
  <c r="D101" i="3"/>
  <c r="J101" i="3"/>
  <c r="K101" i="3"/>
  <c r="L101" i="3"/>
  <c r="M101" i="3"/>
  <c r="D102" i="3"/>
  <c r="J102" i="3"/>
  <c r="K102" i="3"/>
  <c r="L102" i="3"/>
  <c r="M102" i="3"/>
  <c r="D103" i="3"/>
  <c r="J103" i="3"/>
  <c r="K103" i="3"/>
  <c r="L103" i="3"/>
  <c r="M103" i="3"/>
  <c r="D104" i="3"/>
  <c r="J104" i="3"/>
  <c r="K104" i="3"/>
  <c r="L104" i="3"/>
  <c r="M104" i="3"/>
  <c r="D105" i="3"/>
  <c r="J105" i="3"/>
  <c r="K105" i="3"/>
  <c r="L105" i="3"/>
  <c r="M105" i="3"/>
  <c r="D106" i="3"/>
  <c r="J106" i="3"/>
  <c r="K106" i="3"/>
  <c r="L106" i="3"/>
  <c r="M106" i="3"/>
  <c r="D107" i="3"/>
  <c r="J107" i="3"/>
  <c r="K107" i="3"/>
  <c r="L107" i="3"/>
  <c r="M107" i="3"/>
  <c r="D108" i="3"/>
  <c r="J108" i="3"/>
  <c r="K108" i="3"/>
  <c r="L108" i="3"/>
  <c r="M108" i="3"/>
  <c r="D109" i="3"/>
  <c r="J109" i="3"/>
  <c r="K109" i="3"/>
  <c r="L109" i="3"/>
  <c r="M109" i="3"/>
  <c r="D110" i="3"/>
  <c r="J110" i="3"/>
  <c r="K110" i="3"/>
  <c r="L110" i="3"/>
  <c r="M110" i="3"/>
  <c r="H22" i="1" l="1"/>
  <c r="I22" i="1" s="1"/>
  <c r="H19" i="1"/>
  <c r="I19" i="1" s="1"/>
  <c r="F15" i="1"/>
  <c r="H15" i="1" s="1"/>
  <c r="I15" i="1" s="1"/>
  <c r="F14" i="1"/>
  <c r="F13" i="1"/>
  <c r="F12" i="1"/>
  <c r="H12" i="1" s="1"/>
  <c r="I12" i="1" s="1"/>
  <c r="F11" i="1"/>
  <c r="H11" i="1" s="1"/>
  <c r="I11" i="1" s="1"/>
  <c r="F10" i="1"/>
  <c r="H10" i="1" s="1"/>
  <c r="I10" i="1" s="1"/>
  <c r="M94" i="3"/>
  <c r="K94" i="3"/>
  <c r="L94" i="3"/>
  <c r="J94" i="3"/>
  <c r="D94" i="3"/>
  <c r="K93" i="3"/>
  <c r="L93" i="3"/>
  <c r="J93" i="3"/>
  <c r="D93" i="3"/>
  <c r="M92" i="3"/>
  <c r="K92" i="3"/>
  <c r="J92" i="3"/>
  <c r="D92" i="3"/>
  <c r="M91" i="3"/>
  <c r="K91" i="3"/>
  <c r="J91" i="3"/>
  <c r="D91" i="3"/>
  <c r="M90" i="3"/>
  <c r="K90" i="3"/>
  <c r="J90" i="3"/>
  <c r="D90" i="3"/>
  <c r="M89" i="3"/>
  <c r="K89" i="3"/>
  <c r="J89" i="3"/>
  <c r="D89" i="3"/>
  <c r="M88" i="3"/>
  <c r="K88" i="3"/>
  <c r="J88" i="3"/>
  <c r="D88" i="3"/>
  <c r="M87" i="3"/>
  <c r="K87" i="3"/>
  <c r="J87" i="3"/>
  <c r="D87" i="3"/>
  <c r="M86" i="3"/>
  <c r="K86" i="3"/>
  <c r="J86" i="3"/>
  <c r="D86" i="3"/>
  <c r="M85" i="3"/>
  <c r="K85" i="3"/>
  <c r="J85" i="3"/>
  <c r="D85" i="3"/>
  <c r="M84" i="3"/>
  <c r="K84" i="3"/>
  <c r="J84" i="3"/>
  <c r="D84" i="3"/>
  <c r="J12" i="3"/>
  <c r="H14" i="1" l="1"/>
  <c r="I14" i="1" s="1"/>
  <c r="H13" i="1"/>
  <c r="I13" i="1" s="1"/>
  <c r="H7" i="4" l="1"/>
  <c r="G7" i="4"/>
  <c r="F7" i="4"/>
  <c r="E5" i="4"/>
  <c r="K2" i="3"/>
  <c r="J2" i="3"/>
  <c r="D2" i="3"/>
  <c r="K3" i="3"/>
  <c r="J3" i="3"/>
  <c r="D3" i="3"/>
  <c r="K4" i="3"/>
  <c r="J4" i="3"/>
  <c r="D4" i="3"/>
  <c r="K5" i="3"/>
  <c r="J5" i="3"/>
  <c r="D5" i="3"/>
  <c r="K6" i="3"/>
  <c r="J6" i="3"/>
  <c r="D6" i="3"/>
  <c r="K7" i="3"/>
  <c r="J7" i="3"/>
  <c r="D7" i="3"/>
  <c r="K8" i="3"/>
  <c r="J8" i="3"/>
  <c r="D8" i="3"/>
  <c r="K9" i="3"/>
  <c r="J9" i="3"/>
  <c r="D9" i="3"/>
  <c r="K10" i="3"/>
  <c r="J10" i="3"/>
  <c r="D10" i="3"/>
  <c r="K11" i="3"/>
  <c r="J11" i="3"/>
  <c r="D11" i="3"/>
  <c r="K13" i="3"/>
  <c r="J13" i="3"/>
  <c r="D13" i="3"/>
  <c r="K12" i="3"/>
  <c r="D12" i="3"/>
  <c r="K14" i="3"/>
  <c r="J14" i="3"/>
  <c r="D14" i="3"/>
  <c r="K15" i="3"/>
  <c r="J15" i="3"/>
  <c r="D15" i="3"/>
  <c r="K16" i="3"/>
  <c r="J16" i="3"/>
  <c r="D16" i="3"/>
  <c r="K17" i="3"/>
  <c r="J17" i="3"/>
  <c r="D17" i="3"/>
  <c r="K18" i="3"/>
  <c r="J18" i="3"/>
  <c r="D18" i="3"/>
  <c r="L19" i="3"/>
  <c r="K19" i="3"/>
  <c r="J19" i="3"/>
  <c r="D19" i="3"/>
  <c r="K20" i="3"/>
  <c r="J20" i="3"/>
  <c r="D20" i="3"/>
  <c r="K21" i="3"/>
  <c r="J21" i="3"/>
  <c r="D21" i="3"/>
  <c r="K22" i="3"/>
  <c r="J22" i="3"/>
  <c r="D22" i="3"/>
  <c r="K23" i="3"/>
  <c r="J23" i="3"/>
  <c r="D23" i="3"/>
  <c r="K24" i="3"/>
  <c r="J24" i="3"/>
  <c r="D24" i="3"/>
  <c r="K26" i="3"/>
  <c r="J26" i="3"/>
  <c r="D26" i="3"/>
  <c r="K25" i="3"/>
  <c r="J25" i="3"/>
  <c r="D25" i="3"/>
  <c r="K28" i="3"/>
  <c r="J28" i="3"/>
  <c r="D28" i="3"/>
  <c r="K27" i="3"/>
  <c r="J27" i="3"/>
  <c r="D27" i="3"/>
  <c r="K29" i="3"/>
  <c r="J29" i="3"/>
  <c r="D29" i="3"/>
  <c r="K30" i="3"/>
  <c r="J30" i="3"/>
  <c r="D30" i="3"/>
  <c r="K31" i="3"/>
  <c r="J31" i="3"/>
  <c r="D31" i="3"/>
  <c r="K32" i="3"/>
  <c r="J32" i="3"/>
  <c r="D32" i="3"/>
  <c r="K33" i="3"/>
  <c r="J33" i="3"/>
  <c r="D33" i="3"/>
  <c r="K34" i="3"/>
  <c r="J34" i="3"/>
  <c r="D34" i="3"/>
  <c r="K38" i="3"/>
  <c r="J38" i="3"/>
  <c r="D38" i="3"/>
  <c r="K37" i="3"/>
  <c r="J37" i="3"/>
  <c r="D37" i="3"/>
  <c r="K36" i="3"/>
  <c r="J36" i="3"/>
  <c r="D36" i="3"/>
  <c r="K35" i="3"/>
  <c r="J35" i="3"/>
  <c r="D35" i="3"/>
  <c r="K39" i="3"/>
  <c r="J39" i="3"/>
  <c r="D39" i="3"/>
  <c r="K40" i="3"/>
  <c r="J40" i="3"/>
  <c r="D40" i="3"/>
  <c r="L42" i="3"/>
  <c r="K42" i="3"/>
  <c r="J42" i="3"/>
  <c r="D42" i="3"/>
  <c r="L41" i="3"/>
  <c r="K41" i="3"/>
  <c r="J41" i="3"/>
  <c r="D41" i="3"/>
  <c r="K43" i="3"/>
  <c r="J43" i="3"/>
  <c r="D43" i="3"/>
  <c r="K46" i="3"/>
  <c r="J46" i="3"/>
  <c r="D46" i="3"/>
  <c r="K45" i="3"/>
  <c r="J45" i="3"/>
  <c r="D45" i="3"/>
  <c r="K44" i="3"/>
  <c r="J44" i="3"/>
  <c r="D44" i="3"/>
  <c r="K47" i="3"/>
  <c r="J47" i="3"/>
  <c r="D47" i="3"/>
  <c r="K48" i="3"/>
  <c r="J48" i="3"/>
  <c r="D48" i="3"/>
  <c r="K49" i="3"/>
  <c r="J49" i="3"/>
  <c r="D49" i="3"/>
  <c r="L50" i="3"/>
  <c r="K50" i="3"/>
  <c r="J50" i="3"/>
  <c r="D50" i="3"/>
  <c r="K53" i="3"/>
  <c r="J53" i="3"/>
  <c r="D53" i="3"/>
  <c r="K52" i="3"/>
  <c r="J52" i="3"/>
  <c r="D52" i="3"/>
  <c r="K51" i="3"/>
  <c r="J51" i="3"/>
  <c r="D51" i="3"/>
  <c r="K56" i="3"/>
  <c r="J56" i="3"/>
  <c r="D56" i="3"/>
  <c r="K55" i="3"/>
  <c r="J55" i="3"/>
  <c r="D55" i="3"/>
  <c r="K54" i="3"/>
  <c r="J54" i="3"/>
  <c r="D54" i="3"/>
  <c r="K57" i="3"/>
  <c r="J57" i="3"/>
  <c r="D57" i="3"/>
  <c r="K60" i="3"/>
  <c r="J60" i="3"/>
  <c r="D60" i="3"/>
  <c r="K59" i="3"/>
  <c r="J59" i="3"/>
  <c r="D59" i="3"/>
  <c r="K58" i="3"/>
  <c r="J58" i="3"/>
  <c r="D58" i="3"/>
  <c r="K63" i="3"/>
  <c r="J63" i="3"/>
  <c r="D63" i="3"/>
  <c r="K62" i="3"/>
  <c r="J62" i="3"/>
  <c r="D62" i="3"/>
  <c r="K61" i="3"/>
  <c r="J61" i="3"/>
  <c r="D61" i="3"/>
  <c r="K64" i="3"/>
  <c r="J64" i="3"/>
  <c r="D64" i="3"/>
  <c r="K65" i="3"/>
  <c r="J65" i="3"/>
  <c r="D65" i="3"/>
  <c r="K66" i="3"/>
  <c r="J66" i="3"/>
  <c r="D66" i="3"/>
  <c r="K67" i="3"/>
  <c r="J67" i="3"/>
  <c r="D67" i="3"/>
  <c r="K68" i="3"/>
  <c r="J68" i="3"/>
  <c r="D68" i="3"/>
  <c r="K69" i="3"/>
  <c r="J69" i="3"/>
  <c r="D69" i="3"/>
  <c r="K70" i="3"/>
  <c r="J70" i="3"/>
  <c r="D70" i="3"/>
  <c r="K83" i="3"/>
  <c r="J83" i="3"/>
  <c r="D83" i="3"/>
  <c r="K82" i="3"/>
  <c r="J82" i="3"/>
  <c r="D82" i="3"/>
  <c r="K81" i="3"/>
  <c r="J81" i="3"/>
  <c r="D81" i="3"/>
  <c r="K80" i="3"/>
  <c r="J80" i="3"/>
  <c r="D80" i="3"/>
  <c r="K79" i="3"/>
  <c r="J79" i="3"/>
  <c r="D79" i="3"/>
  <c r="K78" i="3"/>
  <c r="J78" i="3"/>
  <c r="D78" i="3"/>
  <c r="K77" i="3"/>
  <c r="J77" i="3"/>
  <c r="D77" i="3"/>
  <c r="K76" i="3"/>
  <c r="J76" i="3"/>
  <c r="D76" i="3"/>
  <c r="K75" i="3"/>
  <c r="J75" i="3"/>
  <c r="D75" i="3"/>
  <c r="K74" i="3"/>
  <c r="J74" i="3"/>
  <c r="D74" i="3"/>
  <c r="K73" i="3"/>
  <c r="J73" i="3"/>
  <c r="D73" i="3"/>
  <c r="K72" i="3"/>
  <c r="J72" i="3"/>
  <c r="D72" i="3"/>
  <c r="K71" i="3"/>
  <c r="J71" i="3"/>
  <c r="D71" i="3"/>
  <c r="E11" i="5" l="1"/>
  <c r="E22" i="5"/>
  <c r="S526" i="3"/>
  <c r="R526" i="3"/>
  <c r="Q526" i="3"/>
  <c r="E18" i="5" l="1"/>
  <c r="E29" i="5"/>
  <c r="H5" i="4"/>
  <c r="E32" i="5" l="1"/>
  <c r="F6" i="1"/>
  <c r="F9" i="1"/>
  <c r="F8" i="1"/>
  <c r="F7" i="1"/>
  <c r="H7" i="1" s="1"/>
  <c r="F5" i="1"/>
  <c r="H5" i="1" l="1"/>
  <c r="I5" i="1" s="1"/>
  <c r="F54" i="1"/>
  <c r="H9" i="1"/>
  <c r="I9" i="1" s="1"/>
  <c r="H8" i="1"/>
  <c r="I8" i="1" s="1"/>
  <c r="H6" i="1"/>
  <c r="I6" i="1" s="1"/>
  <c r="I7" i="1"/>
  <c r="I54" i="1" l="1"/>
  <c r="H54" i="1"/>
</calcChain>
</file>

<file path=xl/sharedStrings.xml><?xml version="1.0" encoding="utf-8"?>
<sst xmlns="http://schemas.openxmlformats.org/spreadsheetml/2006/main" count="3245" uniqueCount="623">
  <si>
    <t>Amount in INR</t>
  </si>
  <si>
    <t>Date</t>
  </si>
  <si>
    <t>Nature</t>
  </si>
  <si>
    <t>Gross</t>
  </si>
  <si>
    <t>Commission</t>
  </si>
  <si>
    <t>Cost / Ticket</t>
  </si>
  <si>
    <t>No. of Tickets</t>
  </si>
  <si>
    <t>Net</t>
  </si>
  <si>
    <t>Super Early Bird</t>
  </si>
  <si>
    <t>%</t>
  </si>
  <si>
    <t>Amount</t>
  </si>
  <si>
    <t>b</t>
  </si>
  <si>
    <t>Early Bird</t>
  </si>
  <si>
    <t>Row Labels</t>
  </si>
  <si>
    <t>Grand Total</t>
  </si>
  <si>
    <t>Commision</t>
  </si>
  <si>
    <t>Count of Tickets</t>
  </si>
  <si>
    <t>Bank Credit</t>
  </si>
  <si>
    <t>Gross Credit</t>
  </si>
  <si>
    <t>Attendee Name</t>
  </si>
  <si>
    <t>Attendee Email</t>
  </si>
  <si>
    <t>Ticket_Name</t>
  </si>
  <si>
    <t>Order_Id</t>
  </si>
  <si>
    <t>Transaction Status</t>
  </si>
  <si>
    <t>Ticket Price</t>
  </si>
  <si>
    <t>Ticket_Currency</t>
  </si>
  <si>
    <t>Registration Time</t>
  </si>
  <si>
    <t>Gender</t>
  </si>
  <si>
    <t>Purchaser_Name</t>
  </si>
  <si>
    <t>Purchaser_Email_Id</t>
  </si>
  <si>
    <t>Number_of_Tickets</t>
  </si>
  <si>
    <t>Billing_Amount</t>
  </si>
  <si>
    <t>Money_to_You</t>
  </si>
  <si>
    <t>Townscript_fees</t>
  </si>
  <si>
    <t>Townscript_fee_percentage</t>
  </si>
  <si>
    <t>Service_tax_percentage</t>
  </si>
  <si>
    <t>Townscript_fix_transaction_charge</t>
  </si>
  <si>
    <t>Payout Status</t>
  </si>
  <si>
    <t>SUCCESS</t>
  </si>
  <si>
    <t>NA</t>
  </si>
  <si>
    <t>INR</t>
  </si>
  <si>
    <t>Kunal Mathur</t>
  </si>
  <si>
    <t>vetri02@gmail.com</t>
  </si>
  <si>
    <t>Raja Nagendra Kumar</t>
  </si>
  <si>
    <t>nagendra.raja@tejasoft.com</t>
  </si>
  <si>
    <t>Meenakshi Agrawal</t>
  </si>
  <si>
    <t>m@meenakshi.im</t>
  </si>
  <si>
    <t>Swastik Pareek</t>
  </si>
  <si>
    <t>zulekha.herlekar@qed42.com</t>
  </si>
  <si>
    <t>Dhananjay Puglia</t>
  </si>
  <si>
    <t>dhansiddh@gmail.com</t>
  </si>
  <si>
    <t>sera.bravo004@gmail.com</t>
  </si>
  <si>
    <t>Sargam Badyal</t>
  </si>
  <si>
    <t>Aditi Joshi</t>
  </si>
  <si>
    <t>Jaditi.1993@gmail.com</t>
  </si>
  <si>
    <t>K Vineetha</t>
  </si>
  <si>
    <t>vineetha.koneru2438@gmail.com</t>
  </si>
  <si>
    <t>Kakul Gupta</t>
  </si>
  <si>
    <t>kakul.gupta009@gmail.com</t>
  </si>
  <si>
    <t>apurvajain2393@gmail.com</t>
  </si>
  <si>
    <t>Niket Jain</t>
  </si>
  <si>
    <t>Sandeep Bhardwaj</t>
  </si>
  <si>
    <t>vineeth.intivev@gmail.com</t>
  </si>
  <si>
    <t>Pramod Vidyarthi</t>
  </si>
  <si>
    <t>pramodsvidyarthi@gmail.com</t>
  </si>
  <si>
    <t>Manohar Amrutkar</t>
  </si>
  <si>
    <t>amrutkar.manohar@gmail.com</t>
  </si>
  <si>
    <t>Prasad C</t>
  </si>
  <si>
    <t>prasad.c82@gmail.com</t>
  </si>
  <si>
    <t>senthilmurugan.geeth@gmail.com</t>
  </si>
  <si>
    <t>Corporate</t>
  </si>
  <si>
    <t>US$</t>
  </si>
  <si>
    <t>FX</t>
  </si>
  <si>
    <t>vishal.chauhan@cloudbyte.com</t>
  </si>
  <si>
    <t>Bandana</t>
  </si>
  <si>
    <t>bandana.duggal@sap.com</t>
  </si>
  <si>
    <t>Nagendra Palagiri</t>
  </si>
  <si>
    <t>saravana0209@gmail.com</t>
  </si>
  <si>
    <t>deepika.isbe@gmail.com</t>
  </si>
  <si>
    <t>rajagopalilango@gmail.com</t>
  </si>
  <si>
    <t>TDS</t>
  </si>
  <si>
    <t>Rakesh Kumar Mahato</t>
  </si>
  <si>
    <t>rakesh.mahato2@tcs.com</t>
  </si>
  <si>
    <t>Rajesh Panda</t>
  </si>
  <si>
    <t>Sale of Tickets</t>
  </si>
  <si>
    <t>Comission on Collection</t>
  </si>
  <si>
    <t>Conference Expenses</t>
  </si>
  <si>
    <t>Hotel Stay &amp; Food</t>
  </si>
  <si>
    <t>Event Management</t>
  </si>
  <si>
    <t>T-Shirts</t>
  </si>
  <si>
    <t>Count</t>
  </si>
  <si>
    <t>Sale</t>
  </si>
  <si>
    <t>Total Expenses</t>
  </si>
  <si>
    <t>Sponsorship</t>
  </si>
  <si>
    <t>Category</t>
  </si>
  <si>
    <t>Total Revenue</t>
  </si>
  <si>
    <t>Surplus / Deficit</t>
  </si>
  <si>
    <t>(A)</t>
  </si>
  <si>
    <t>(B)</t>
  </si>
  <si>
    <t>(A) - (B)</t>
  </si>
  <si>
    <t>Summary of Income &amp; Expenditure - JSChannel Conference 2016</t>
  </si>
  <si>
    <t>Details of Registration Amount Collected for JSChannel 2016</t>
  </si>
  <si>
    <t>Details of Sponsorship Money Collected for JSChannel 2016</t>
  </si>
  <si>
    <t>Monesh Pattar</t>
  </si>
  <si>
    <t>moneshsp@gmail.com</t>
  </si>
  <si>
    <t>PAID on 01-03-2016 13:21:19</t>
  </si>
  <si>
    <t>Vineet Gupta</t>
  </si>
  <si>
    <t>pg12vineet_gupta@mandevian.com</t>
  </si>
  <si>
    <t>Avijit Kumar</t>
  </si>
  <si>
    <t>www.avijitk@gmail.com</t>
  </si>
  <si>
    <t>Anni Kumari</t>
  </si>
  <si>
    <t>annisinha03@gmail.com</t>
  </si>
  <si>
    <t>Sandesh</t>
  </si>
  <si>
    <t>gautam@simplotel.com</t>
  </si>
  <si>
    <t>dinesh rathi</t>
  </si>
  <si>
    <t>dinesh@simplotel.com</t>
  </si>
  <si>
    <t>John Koppulu</t>
  </si>
  <si>
    <t>john@simplotel.com</t>
  </si>
  <si>
    <t>Dinesh Rathi</t>
  </si>
  <si>
    <t>Ankur Srivastav</t>
  </si>
  <si>
    <t>ankur@simplotel.com</t>
  </si>
  <si>
    <t>Gautam A</t>
  </si>
  <si>
    <t>sandesh@simplotel.com</t>
  </si>
  <si>
    <t>Ilango Rajagopal</t>
  </si>
  <si>
    <t>Vijay Kumar</t>
  </si>
  <si>
    <t>aasiyavijay@gmail.com</t>
  </si>
  <si>
    <t>Karthik P</t>
  </si>
  <si>
    <t>karthik.p03@sap.com</t>
  </si>
  <si>
    <t>Jayoti Pal</t>
  </si>
  <si>
    <t>jayoti.pal01@sap.com</t>
  </si>
  <si>
    <t>PAID on 29-02-2016 14:22:59</t>
  </si>
  <si>
    <t>Akhilesh Jain</t>
  </si>
  <si>
    <t>akhilesh.taurus@gmail.com</t>
  </si>
  <si>
    <t>niket.jain1210@gmail.com</t>
  </si>
  <si>
    <t>rajesh.situ@gmail.com</t>
  </si>
  <si>
    <t>AMIT SHARMA</t>
  </si>
  <si>
    <t>AMIT.SHARMA@CLOUDBYTE.COM</t>
  </si>
  <si>
    <t>CLOUDBYTE INDIA TECHNOLOGIES PVT LTD</t>
  </si>
  <si>
    <t>SOUMYA.LEELARAM@CLOUDBYTE.COM</t>
  </si>
  <si>
    <t>VISHAL CHAUHAN</t>
  </si>
  <si>
    <t>RAKESH ROSHAN K</t>
  </si>
  <si>
    <t>RAKESH.ROSHAN@CLOUDBYTE.COM</t>
  </si>
  <si>
    <t>Lokesh jain</t>
  </si>
  <si>
    <t>lokeshjain2008@gmail.com</t>
  </si>
  <si>
    <t>shireesha parampalli</t>
  </si>
  <si>
    <t>ps.shireesha@gmail.com</t>
  </si>
  <si>
    <t>Muralidhar Duvvuri</t>
  </si>
  <si>
    <t>purchases@infratab.in</t>
  </si>
  <si>
    <t>Infratab Bangalore</t>
  </si>
  <si>
    <t>Swathi PV</t>
  </si>
  <si>
    <t>Priyanka Kumari</t>
  </si>
  <si>
    <t>Rajarshi Goswami</t>
  </si>
  <si>
    <t>rajarshi.goswami@metricstream.com</t>
  </si>
  <si>
    <t>Harji Singh Mehta</t>
  </si>
  <si>
    <t>harji.mehta@metricstream.com</t>
  </si>
  <si>
    <t>Lawrence Croiden Lobo</t>
  </si>
  <si>
    <t>lobocroiden@MetricStream.com</t>
  </si>
  <si>
    <t>Cedric Francis Mascarenhas</t>
  </si>
  <si>
    <t>cedricm@MetricStream.com</t>
  </si>
  <si>
    <t>Akash Devaraju</t>
  </si>
  <si>
    <t>akashdevaraju@gmail.com</t>
  </si>
  <si>
    <t>Gautham R</t>
  </si>
  <si>
    <t>18.gautham@gmail.com</t>
  </si>
  <si>
    <t>Charu Priya</t>
  </si>
  <si>
    <t>charu_priya@mckinsey.com</t>
  </si>
  <si>
    <t>PAID on 26-02-2016 13:21:27</t>
  </si>
  <si>
    <t>Ravindra</t>
  </si>
  <si>
    <t>ravidsrk@gmail.com</t>
  </si>
  <si>
    <t>Suman Kumari</t>
  </si>
  <si>
    <t>sumankum@thoughtworks.com</t>
  </si>
  <si>
    <t>Bhagyashree S</t>
  </si>
  <si>
    <t>bhagyas@thoughtworks.com</t>
  </si>
  <si>
    <t>Ashray Mehta</t>
  </si>
  <si>
    <t>ashray.mehta@gmail.com</t>
  </si>
  <si>
    <t>VETRICHELVAN</t>
  </si>
  <si>
    <t>Shahal Tharique</t>
  </si>
  <si>
    <t>shahalpk@gmail.com</t>
  </si>
  <si>
    <t>Ashiq Muhammad</t>
  </si>
  <si>
    <t>32teeths@gmail.com</t>
  </si>
  <si>
    <t>Kundan Kumar</t>
  </si>
  <si>
    <t>kundan.gupta@goibibo.com</t>
  </si>
  <si>
    <t>naag.nagendra@gmail.com</t>
  </si>
  <si>
    <t>swastik.pareek@qed42.com</t>
  </si>
  <si>
    <t>Saket Kumar</t>
  </si>
  <si>
    <t>saket.kumar@qed42.com</t>
  </si>
  <si>
    <t>Abhay Kumar</t>
  </si>
  <si>
    <t>abhay.kumar@qed42.com</t>
  </si>
  <si>
    <t>Julekhanbi Herlekar</t>
  </si>
  <si>
    <t>Deepika Chalpe</t>
  </si>
  <si>
    <t>deepika.chalpe@qed42.com</t>
  </si>
  <si>
    <t>Bhargav Yadati</t>
  </si>
  <si>
    <t>bhargavdt3@gmail.com</t>
  </si>
  <si>
    <t>Sujeith Gopinath</t>
  </si>
  <si>
    <t>sujithgnth@gmail.com</t>
  </si>
  <si>
    <t>Anshu Kumar</t>
  </si>
  <si>
    <t>anshukmrsingh@gmail.com</t>
  </si>
  <si>
    <t>Christian Lilley</t>
  </si>
  <si>
    <t>cmlilley@gmail.com</t>
  </si>
  <si>
    <t>Punith Jain</t>
  </si>
  <si>
    <t>punith.jain1@gmail.com</t>
  </si>
  <si>
    <t>Vikash Verma</t>
  </si>
  <si>
    <t>vermavikash014@gmail.com</t>
  </si>
  <si>
    <t>Mayank Shekhar</t>
  </si>
  <si>
    <t>zmsrms@gmail.com</t>
  </si>
  <si>
    <t>Sriraman</t>
  </si>
  <si>
    <t>sriramancse@gmail.com</t>
  </si>
  <si>
    <t>Somasundaram</t>
  </si>
  <si>
    <t>somasundaram321@gmail.com</t>
  </si>
  <si>
    <t>DP Venkatesh</t>
  </si>
  <si>
    <t>dpven321@gmail.com</t>
  </si>
  <si>
    <t>Shirish Kumar</t>
  </si>
  <si>
    <t>mshirishkumar@gmail.com</t>
  </si>
  <si>
    <t>Vivek Kumar Agarwal</t>
  </si>
  <si>
    <t>me@vivek.im</t>
  </si>
  <si>
    <t>TejaSoft Innovations Pvt. Ltd.</t>
  </si>
  <si>
    <t>hr@tejasoft.com</t>
  </si>
  <si>
    <t>Vishal Kulshrestha</t>
  </si>
  <si>
    <t>kvishalk@gmail.com</t>
  </si>
  <si>
    <t>Senthil Murugan</t>
  </si>
  <si>
    <t>Deepika</t>
  </si>
  <si>
    <t>PAID on 19-02-2016 13:01:38</t>
  </si>
  <si>
    <t>Sahil Malik</t>
  </si>
  <si>
    <t>sahil.malik@mckinsey.com</t>
  </si>
  <si>
    <t>Rajashekar</t>
  </si>
  <si>
    <t>rajashekar.m@gmail.com</t>
  </si>
  <si>
    <t>sb23007@gmail.com</t>
  </si>
  <si>
    <t>PAID on 17-02-2016 16:37:53</t>
  </si>
  <si>
    <t>Atmaram Subramaniam</t>
  </si>
  <si>
    <t>y2a1nfekted@gmail.com</t>
  </si>
  <si>
    <t>PAID on 16-02-2016 13:29:20</t>
  </si>
  <si>
    <t>Sreekesh O S</t>
  </si>
  <si>
    <t>sreekeshokky@gmail.com</t>
  </si>
  <si>
    <t>Nair Vineeth Radhakrishnan</t>
  </si>
  <si>
    <t>APURVA JAIN</t>
  </si>
  <si>
    <t>PRATEEK BHATNAGAR</t>
  </si>
  <si>
    <t>prateek89born@gmail.com</t>
  </si>
  <si>
    <t>NIkhil AM</t>
  </si>
  <si>
    <t>am.nikhil66@gmail.com</t>
  </si>
  <si>
    <t>Avnesh Shakya</t>
  </si>
  <si>
    <t>avnesh.shakya@globant.com</t>
  </si>
  <si>
    <t>saravana</t>
  </si>
  <si>
    <t>mathurkunal@gmail.com</t>
  </si>
  <si>
    <t>Discount Name</t>
  </si>
  <si>
    <t>M</t>
  </si>
  <si>
    <t>L</t>
  </si>
  <si>
    <t>S</t>
  </si>
  <si>
    <t>XS</t>
  </si>
  <si>
    <t>XL</t>
  </si>
  <si>
    <t>Female</t>
  </si>
  <si>
    <t>Male</t>
  </si>
  <si>
    <t>Payment_Gateway_Charges</t>
  </si>
  <si>
    <t>Payment_Gateway_Service_tax_Percentage</t>
  </si>
  <si>
    <t>n/a</t>
  </si>
  <si>
    <t>Discount Type</t>
  </si>
  <si>
    <t>Contact Number</t>
  </si>
  <si>
    <t>T-Shirt Size</t>
  </si>
  <si>
    <t>Remark</t>
  </si>
  <si>
    <t>Average of Cost / Ticket</t>
  </si>
  <si>
    <t>Niranjan Prabhakar Sarade</t>
  </si>
  <si>
    <t>toniranjanps@gmail.com</t>
  </si>
  <si>
    <t>CODE</t>
  </si>
  <si>
    <t>JSC2016_MSCI</t>
  </si>
  <si>
    <t>PAID on 07-03-2016 15:57:38</t>
  </si>
  <si>
    <t>Arpan Dhar</t>
  </si>
  <si>
    <t>dhar.arpan@gmail.com</t>
  </si>
  <si>
    <t>Anup Pareek</t>
  </si>
  <si>
    <t>anup.pareek@hotmail.com</t>
  </si>
  <si>
    <t>Pankaj Kumar Gupta</t>
  </si>
  <si>
    <t>pankaj.00gupta@gmail.com</t>
  </si>
  <si>
    <t>Vinayak Hegde</t>
  </si>
  <si>
    <t>vinayakshk@gmail.com</t>
  </si>
  <si>
    <t>PAID on 09-03-2016 12:34:43</t>
  </si>
  <si>
    <t>Siva Shanmuga Nathan N</t>
  </si>
  <si>
    <t>siva.shanmuga.nathan.n@oracle.com</t>
  </si>
  <si>
    <t>PAID on 10-03-2016 15:44:37</t>
  </si>
  <si>
    <t>Abhilash Gupta</t>
  </si>
  <si>
    <t>abhilash.gupta@oracle.com</t>
  </si>
  <si>
    <t>Shantanu Gontia</t>
  </si>
  <si>
    <t>shantanu.gontia@oracle.com</t>
  </si>
  <si>
    <t>Vineeth Chirayath</t>
  </si>
  <si>
    <t>vineeth.chirayath@oracle.com</t>
  </si>
  <si>
    <t>Lakshmi G</t>
  </si>
  <si>
    <t>laksmig6@gmail.com</t>
  </si>
  <si>
    <t>PAID on 11-03-2016 15:58:00</t>
  </si>
  <si>
    <t>Shabareesh J L</t>
  </si>
  <si>
    <t>shabareeshj@gmail.com</t>
  </si>
  <si>
    <t>Extra Rs. 105 Deducted</t>
  </si>
  <si>
    <t>PAID on 04-04-2016 13:58:02</t>
  </si>
  <si>
    <t>archi.sundaray5@gmail.com</t>
  </si>
  <si>
    <t>Archita</t>
  </si>
  <si>
    <t>Archita Sundaray</t>
  </si>
  <si>
    <t>kiran.kumar@codemancers.com</t>
  </si>
  <si>
    <t>Codemancers Technologies Pvt Ltd</t>
  </si>
  <si>
    <t>siddharatha@codemancers.com</t>
  </si>
  <si>
    <t>Siddharatha</t>
  </si>
  <si>
    <t>revath@codemancers.com</t>
  </si>
  <si>
    <t>Revath S Kumar</t>
  </si>
  <si>
    <t>yuva@codemancers.com</t>
  </si>
  <si>
    <t>YUva</t>
  </si>
  <si>
    <t>kashyap@codemancers.com</t>
  </si>
  <si>
    <t>Kashyap Kondamudi</t>
  </si>
  <si>
    <t>Ricky@opspl.com</t>
  </si>
  <si>
    <t>Americo Noronha</t>
  </si>
  <si>
    <t>cleto@sjinnovation.com</t>
  </si>
  <si>
    <t>Cleto Barbosa</t>
  </si>
  <si>
    <t>xylon@sjinnovation.com</t>
  </si>
  <si>
    <t>Xylon Gracias</t>
  </si>
  <si>
    <t>aditi.w4@gmail.com</t>
  </si>
  <si>
    <t>Aditi Lahiri</t>
  </si>
  <si>
    <t>dhrubach@hotmail.com</t>
  </si>
  <si>
    <t>dhruba chatterjee</t>
  </si>
  <si>
    <t>athampraveen@gmail.com</t>
  </si>
  <si>
    <t>Praveen R</t>
  </si>
  <si>
    <t>arun.saini07@gmail.com</t>
  </si>
  <si>
    <t>Arun Saini</t>
  </si>
  <si>
    <t>sunil43@gmail.com</t>
  </si>
  <si>
    <t>Sunil Ahuja</t>
  </si>
  <si>
    <t>upkar.singh@verse.in</t>
  </si>
  <si>
    <t>upkar Singh</t>
  </si>
  <si>
    <t>nishuarora.nishant@gmail.com</t>
  </si>
  <si>
    <t>Nishant Mendiratta</t>
  </si>
  <si>
    <t>groverniharika1@gmail.com</t>
  </si>
  <si>
    <t>Niharika Grover</t>
  </si>
  <si>
    <t>hirakchatterjee@gmail.com</t>
  </si>
  <si>
    <t>Hirak Chatterjee</t>
  </si>
  <si>
    <t>PAID on 07-04-2016 17:37:40</t>
  </si>
  <si>
    <t>accounts@srijan.in</t>
  </si>
  <si>
    <t>Srijan Technologies Pvt Ltd</t>
  </si>
  <si>
    <t>joseph.dias@srijan.in</t>
  </si>
  <si>
    <t>Joseph Dias</t>
  </si>
  <si>
    <t>sanjay@srijan.in</t>
  </si>
  <si>
    <t>Sanjay Rohila</t>
  </si>
  <si>
    <t>kuldev@srijan.in</t>
  </si>
  <si>
    <t>Kuldev Singh</t>
  </si>
  <si>
    <t>aashish.mangal@srijan.in</t>
  </si>
  <si>
    <t>Aashish Mangal</t>
  </si>
  <si>
    <t>jitu.khubchandani@srijan.in</t>
  </si>
  <si>
    <t>Jitu Kubchandani</t>
  </si>
  <si>
    <t>soumyajit.basu@srijan.in</t>
  </si>
  <si>
    <t>Soumyajit Basu</t>
  </si>
  <si>
    <t>anup.menon@srijan.in</t>
  </si>
  <si>
    <t>Anup Menon</t>
  </si>
  <si>
    <t>tarun.softengg@gmail.com</t>
  </si>
  <si>
    <t>Tarun Sharma</t>
  </si>
  <si>
    <t>subhojit.paul@srijan.in</t>
  </si>
  <si>
    <t>Subhojit Paul</t>
  </si>
  <si>
    <t>lalit.shandilya@srijan.in</t>
  </si>
  <si>
    <t>Lalit Kumar Shandilya</t>
  </si>
  <si>
    <t>pavan@grahana.net</t>
  </si>
  <si>
    <t>Pavan Keshavamurthy</t>
  </si>
  <si>
    <t>PAID on 08-04-2016 13:18:02</t>
  </si>
  <si>
    <t>ashu.org@gmail.com</t>
  </si>
  <si>
    <t>Ashutosh Verma</t>
  </si>
  <si>
    <t>Padmanabham mishra</t>
  </si>
  <si>
    <t>Padam.mishra@gmail.com</t>
  </si>
  <si>
    <t>PAID on 11-04-2016 16:12:11</t>
  </si>
  <si>
    <t>PAID on 15-04-2016 16:14:13</t>
  </si>
  <si>
    <t>waliacreations@yahoo.com</t>
  </si>
  <si>
    <t>HEMANT WALIA</t>
  </si>
  <si>
    <t>JS Enthusiasts</t>
  </si>
  <si>
    <t>lalit.thakur@srijan.in</t>
  </si>
  <si>
    <t>Srijan movida technologies pvt ltd.</t>
  </si>
  <si>
    <t>SRIJAN</t>
  </si>
  <si>
    <t>AJAY PANWAR</t>
  </si>
  <si>
    <t>Atul R</t>
  </si>
  <si>
    <t>atulanand94@gmail.com</t>
  </si>
  <si>
    <t>PAID on 20-04-2016 13:32:06</t>
  </si>
  <si>
    <t>Srivastava C M</t>
  </si>
  <si>
    <t>Srivastava_cm@thbs.com</t>
  </si>
  <si>
    <t>JSC_TORRY_HARRIS</t>
  </si>
  <si>
    <t>Jyoti Kamat</t>
  </si>
  <si>
    <t>jyoti_mallya@thbs.com</t>
  </si>
  <si>
    <t>Dersana Jose</t>
  </si>
  <si>
    <t>dersana_jose@thbs.com</t>
  </si>
  <si>
    <t>Aida Tom</t>
  </si>
  <si>
    <t>aida_tom@thbs.com</t>
  </si>
  <si>
    <t>Shishir Kumar</t>
  </si>
  <si>
    <t>shishir_kumar@thbs.com</t>
  </si>
  <si>
    <t>Hasham Sharief</t>
  </si>
  <si>
    <t>hasham_sharieff@thbs.com</t>
  </si>
  <si>
    <t>Priyanka Emmi</t>
  </si>
  <si>
    <t>priyanka_emmi@thbs.com</t>
  </si>
  <si>
    <t>Lalitanjali B V</t>
  </si>
  <si>
    <t>lalitha_anjali@thbs.com</t>
  </si>
  <si>
    <t>Snehlata Singh</t>
  </si>
  <si>
    <t>sneh_singh@thbs.com</t>
  </si>
  <si>
    <t>Deepak Anekal</t>
  </si>
  <si>
    <t>deepak.anekal@FireEye.com</t>
  </si>
  <si>
    <t>Amit Saha</t>
  </si>
  <si>
    <t>amitsaha83@gmail.com</t>
  </si>
  <si>
    <t>PAID on 24-05-2016 13:56:01</t>
  </si>
  <si>
    <t>Sanchit Matta</t>
  </si>
  <si>
    <t>sanchitmatta@gmail.com</t>
  </si>
  <si>
    <t>Harish Gnanasekar</t>
  </si>
  <si>
    <t>harish.gnanasekar@talentica.com</t>
  </si>
  <si>
    <t>Bharat Mhaskar</t>
  </si>
  <si>
    <t>Bharat.Mhaskar@talentica.com</t>
  </si>
  <si>
    <t>PAID on 23-05-2016 20:11:39</t>
  </si>
  <si>
    <t>Jayakrishna Kenche</t>
  </si>
  <si>
    <t>krishnakenche6@gmail.com</t>
  </si>
  <si>
    <t>VENKATASALAM KARUPPUSAMY</t>
  </si>
  <si>
    <t>venkatkk@gmail.com</t>
  </si>
  <si>
    <t>JSC_MEETUP_28</t>
  </si>
  <si>
    <t>Mani Mishra</t>
  </si>
  <si>
    <t>mani.mishra@fireeye.com</t>
  </si>
  <si>
    <t>Lavkesh Garg</t>
  </si>
  <si>
    <t>lavkesh_garg@mckinsey.com</t>
  </si>
  <si>
    <t>Manikandaraman A</t>
  </si>
  <si>
    <t>mani@railsfactory.org</t>
  </si>
  <si>
    <t>TARKALABS</t>
  </si>
  <si>
    <t>ACCESS_CODE</t>
  </si>
  <si>
    <t>JSC_TARKALABS</t>
  </si>
  <si>
    <t>Sudhakar Rayavaram</t>
  </si>
  <si>
    <t>sudhakar@tarkalabs.com</t>
  </si>
  <si>
    <t>Deepak Prasanna</t>
  </si>
  <si>
    <t>deepak@tarkalabs.com</t>
  </si>
  <si>
    <t>Dhruva Sagar</t>
  </si>
  <si>
    <t>dhruva@tarkalabs.com</t>
  </si>
  <si>
    <t>Dinesh Kumar</t>
  </si>
  <si>
    <t>dinesh@railsfactory.com</t>
  </si>
  <si>
    <t>Kalpesh</t>
  </si>
  <si>
    <t>kalpesh@tarkalabs.com</t>
  </si>
  <si>
    <t>Puneeth Shetty</t>
  </si>
  <si>
    <t>pushett@microsoft.com</t>
  </si>
  <si>
    <t>Abhik Mitra</t>
  </si>
  <si>
    <t>abmitra@microsoft.com</t>
  </si>
  <si>
    <t>Tarkalabs</t>
  </si>
  <si>
    <t>Mohamed Ismail</t>
  </si>
  <si>
    <t>mohamedi@thoughtworks.com</t>
  </si>
  <si>
    <t>PAID on 27-06-2016 17:53:02</t>
  </si>
  <si>
    <t>Namya Raviprakash</t>
  </si>
  <si>
    <t>Namya.Raviprakash@thermofisher.com</t>
  </si>
  <si>
    <t>Debasmita Tripathy</t>
  </si>
  <si>
    <t>debasmita.tripathy@thermofisher.com</t>
  </si>
  <si>
    <t>Harshavardhana Goothy</t>
  </si>
  <si>
    <t>harshavardhana.g@thermofisher.com</t>
  </si>
  <si>
    <t>Archana Venugopal</t>
  </si>
  <si>
    <t>archana.v@thermofisher.com</t>
  </si>
  <si>
    <t>Mitesh Agrawal</t>
  </si>
  <si>
    <t>mitesh.agrawal@thermofisher.com</t>
  </si>
  <si>
    <t>Pranav Prabhakar</t>
  </si>
  <si>
    <t>pranavprabhakaran@gmail.com</t>
  </si>
  <si>
    <t>Ajay Kumar Soni</t>
  </si>
  <si>
    <t>ajay.soni@ap.sony.com</t>
  </si>
  <si>
    <t>JSC_SONY</t>
  </si>
  <si>
    <t>Abhishake Jha</t>
  </si>
  <si>
    <t>abhishake.jha@ap.sony.com</t>
  </si>
  <si>
    <t>Ahmar Abdullah</t>
  </si>
  <si>
    <t>ahmar.abdullah@loyalytics.in</t>
  </si>
  <si>
    <t>FLAT</t>
  </si>
  <si>
    <t>JSC_ADOBE1</t>
  </si>
  <si>
    <t>PAID on 22-06-2016 16:27:39</t>
  </si>
  <si>
    <t>Dipen Chaudhary</t>
  </si>
  <si>
    <t>dipen@qed42.com</t>
  </si>
  <si>
    <t>JSC_SPEAKER</t>
  </si>
  <si>
    <t>Sriharsha Ranganath</t>
  </si>
  <si>
    <t>sriharsha.ken@gmail.com</t>
  </si>
  <si>
    <t>PAID on 20-06-2016 17:46:04</t>
  </si>
  <si>
    <t>Pranjal Diwedi</t>
  </si>
  <si>
    <t>pranjal.diwedi@gmail.com</t>
  </si>
  <si>
    <t>Kishore M</t>
  </si>
  <si>
    <t>kishorem@adobe.com</t>
  </si>
  <si>
    <t>JSC_ADOBE</t>
  </si>
  <si>
    <t>Deepak krishna</t>
  </si>
  <si>
    <t>dekrishn@adobe.com</t>
  </si>
  <si>
    <t>Suseendran Radhakrishnan</t>
  </si>
  <si>
    <t>susee@adobe.com</t>
  </si>
  <si>
    <t>Murali Veerendranath Chowdary Nunna</t>
  </si>
  <si>
    <t>murali.nunna@amadeus.com</t>
  </si>
  <si>
    <t>Janani Chakravarthy</t>
  </si>
  <si>
    <t>janani.chakravarthy@amadeus.com</t>
  </si>
  <si>
    <t>Hemanth Shivakumar Vijayakumari</t>
  </si>
  <si>
    <t>hemanth.shivakumar@amadeus.com</t>
  </si>
  <si>
    <t>Nilesh Kumar</t>
  </si>
  <si>
    <t>nilesh1.kumar@amadeus.com</t>
  </si>
  <si>
    <t>Dinesh Kumar Yadav</t>
  </si>
  <si>
    <t>diyadav@adobe.com</t>
  </si>
  <si>
    <t>Monica S Jaswanth</t>
  </si>
  <si>
    <t>mjaswant@adobe.com</t>
  </si>
  <si>
    <t>PAID on 09-06-2016 17:12:56</t>
  </si>
  <si>
    <t>Rohit Tailor</t>
  </si>
  <si>
    <t>tailor@adobe.com</t>
  </si>
  <si>
    <t>Ajay Kumar Bysani</t>
  </si>
  <si>
    <t>abysani@adobe.com</t>
  </si>
  <si>
    <t>Saijyothi V</t>
  </si>
  <si>
    <t>saijyoth@adobe.com</t>
  </si>
  <si>
    <t>Harisha Kumara</t>
  </si>
  <si>
    <t>hkumara@adobe.com</t>
  </si>
  <si>
    <t>Abani Ranjan Behera</t>
  </si>
  <si>
    <t>behera@adobe.com</t>
  </si>
  <si>
    <t>Sujeet Palwar</t>
  </si>
  <si>
    <t>spalwar@adobe.com</t>
  </si>
  <si>
    <t>Ramesh Laxman Sakanadagi</t>
  </si>
  <si>
    <t>laxmansa@adobe.com</t>
  </si>
  <si>
    <t>Naveen Kumar</t>
  </si>
  <si>
    <t>nakumar@adobe.com</t>
  </si>
  <si>
    <t>Gaurav Dixit</t>
  </si>
  <si>
    <t>gdixit@adobe.com</t>
  </si>
  <si>
    <t>Xebia Employee 1</t>
  </si>
  <si>
    <t>pmistry@xebia.com</t>
  </si>
  <si>
    <t>JSC_XEBIA</t>
  </si>
  <si>
    <t>Pinakin N Mistry</t>
  </si>
  <si>
    <t>pinakin.nmistry@gmail.com</t>
  </si>
  <si>
    <t>Xebia Employee 2</t>
  </si>
  <si>
    <t>abhishekbajpai@xebial.com</t>
  </si>
  <si>
    <t>mohit jain</t>
  </si>
  <si>
    <t>mohit.jain@loyalytics.in</t>
  </si>
  <si>
    <t>PAID on 03-06-2016 15:47:48</t>
  </si>
  <si>
    <t>Leaseline Charges</t>
  </si>
  <si>
    <t>Photgraphy / Live Streaming</t>
  </si>
  <si>
    <t>STALIN T</t>
  </si>
  <si>
    <t>stalin.thangaraj@sumerusolutions.com</t>
  </si>
  <si>
    <t>JSC_SUMERU</t>
  </si>
  <si>
    <t>SEEMA SWAMY</t>
  </si>
  <si>
    <t>seema.swamy@sumerusolutions.com</t>
  </si>
  <si>
    <t>Krishnamohan Tadakamalla</t>
  </si>
  <si>
    <t>krishna.mohan@sumerusolutions.com</t>
  </si>
  <si>
    <t>Sivananda Reddy</t>
  </si>
  <si>
    <t>sivananda.reddy@sumerusolutions.com</t>
  </si>
  <si>
    <t>ANILKUMAR BEJUGAM</t>
  </si>
  <si>
    <t>anilkumar.b@sumerusolutions.com</t>
  </si>
  <si>
    <t>Kranthi Kishore Vuppala</t>
  </si>
  <si>
    <t>kranthi.kishore@sumerusolutions.com</t>
  </si>
  <si>
    <t>Gunasekhar Mangala</t>
  </si>
  <si>
    <t>gunasekhar.m@sumerusolutions.com</t>
  </si>
  <si>
    <t>Vinoth Kannan Mani</t>
  </si>
  <si>
    <t>vinothkannan.mani@sumerusolutions.com</t>
  </si>
  <si>
    <t>Satyajit Behera</t>
  </si>
  <si>
    <t>satyajit.behera@sumerusolutions.com</t>
  </si>
  <si>
    <t>Abhisarika Singh</t>
  </si>
  <si>
    <t>abhisarika.singh@sumerusolutions.com</t>
  </si>
  <si>
    <t>Navaneetha Rao</t>
  </si>
  <si>
    <t>navaneetha@colloqiconsulting.com</t>
  </si>
  <si>
    <t>Ravi Bail</t>
  </si>
  <si>
    <t>ravi@colloqiconsulting.com</t>
  </si>
  <si>
    <t>Ragunathan Maniraj</t>
  </si>
  <si>
    <t>rmaniraj@logitech.com</t>
  </si>
  <si>
    <t>BULK</t>
  </si>
  <si>
    <t>JSC_RAGU</t>
  </si>
  <si>
    <t>Vignesh Kumar</t>
  </si>
  <si>
    <t>vkumar2@logitech.com</t>
  </si>
  <si>
    <t>Kush Varma</t>
  </si>
  <si>
    <t>kush.varma@qed42.com</t>
  </si>
  <si>
    <t>Niranjan Janardhana</t>
  </si>
  <si>
    <t>niranjan.j@tcs.com</t>
  </si>
  <si>
    <t>JSC_TCS</t>
  </si>
  <si>
    <t>Afreen Fathima</t>
  </si>
  <si>
    <t>afreen.fathima@tcs.com</t>
  </si>
  <si>
    <t>Naveen Kosana</t>
  </si>
  <si>
    <t>naveen.kosana@tcs.com</t>
  </si>
  <si>
    <t>suyash mishra</t>
  </si>
  <si>
    <t>yashtop@gmail.com</t>
  </si>
  <si>
    <t>venkata</t>
  </si>
  <si>
    <t>venkatadri.sandu@tcs.com</t>
  </si>
  <si>
    <t>Ravi Bail Bhat</t>
  </si>
  <si>
    <t>PAID on 05-07-2016 15:47:48</t>
  </si>
  <si>
    <t>Srikanth Manngipudi</t>
  </si>
  <si>
    <t>srikanth.mangipudi@optym.com</t>
  </si>
  <si>
    <t>OPTYM INDIA PRIVATE LIMITED</t>
  </si>
  <si>
    <t>office.india@optym.com</t>
  </si>
  <si>
    <t>PAID on 08-07-2016 17:48:04</t>
  </si>
  <si>
    <t>Ekta Verma</t>
  </si>
  <si>
    <t>ektaverma2013@gmail.com</t>
  </si>
  <si>
    <t>Praveen Chennareddy</t>
  </si>
  <si>
    <t>praveen.chennareddy@sumerusolutions.com</t>
  </si>
  <si>
    <t>Neel</t>
  </si>
  <si>
    <t>neel250294@gmail.com</t>
  </si>
  <si>
    <t>Barnadeep Bhowmik</t>
  </si>
  <si>
    <t>barnadeep.bhowmik@accenture.com</t>
  </si>
  <si>
    <t>PAID on 12-07-2016 15:05:17</t>
  </si>
  <si>
    <t>Bhuwan Lodha</t>
  </si>
  <si>
    <t>bhuwan18@gmail.com</t>
  </si>
  <si>
    <t>JSC_MDL</t>
  </si>
  <si>
    <t>Naveen Hegde</t>
  </si>
  <si>
    <t>naveen.hegde@walmart.com</t>
  </si>
  <si>
    <t>Shaunak Acharya</t>
  </si>
  <si>
    <t>shaunak.acharya@walmart.com</t>
  </si>
  <si>
    <t>Nitin Verma</t>
  </si>
  <si>
    <t>nitin_verma@mckinsey.com</t>
  </si>
  <si>
    <t>Srinath Madapathi</t>
  </si>
  <si>
    <t>smadapat@brocade.com</t>
  </si>
  <si>
    <t>Vivek Kandhvar</t>
  </si>
  <si>
    <t>vkandhva@brocade.com</t>
  </si>
  <si>
    <t>T Venkat Nagesh</t>
  </si>
  <si>
    <t>t.v.nagesh@gmail.com</t>
  </si>
  <si>
    <t>Yasser Parkar</t>
  </si>
  <si>
    <t>yasser.parkar@gmail.com</t>
  </si>
  <si>
    <t>John Jesudason Doss</t>
  </si>
  <si>
    <t>john.jesudason.doss@accenture.com</t>
  </si>
  <si>
    <t>PAID on 18-07-2016 15:04:40</t>
  </si>
  <si>
    <t>Anubhav Deepak Bhojne</t>
  </si>
  <si>
    <t>anubhav.bhojne@gmail.com</t>
  </si>
  <si>
    <t>Selva Ganesh</t>
  </si>
  <si>
    <t>selvaganeshbsg@gmail.com</t>
  </si>
  <si>
    <t>RAMESH JOSHI</t>
  </si>
  <si>
    <t>RAMESH.A.JOSHI@ACCENTURE.COM</t>
  </si>
  <si>
    <t>Umashankar</t>
  </si>
  <si>
    <t>umashankar@playo.co</t>
  </si>
  <si>
    <t>Amit Kumar Roushan</t>
  </si>
  <si>
    <t>amit@playo.co</t>
  </si>
  <si>
    <t>Satya Ranjan Ransingh</t>
  </si>
  <si>
    <t>Satya.Ranjan@cachematrix.com</t>
  </si>
  <si>
    <t>JSC_CACHEMATRIX</t>
  </si>
  <si>
    <t>Cachematrix Integrations Pvt Ltd</t>
  </si>
  <si>
    <t>Pavithra.ashwathnarayana@cachematrix.com</t>
  </si>
  <si>
    <t>Prashant Kumar</t>
  </si>
  <si>
    <t>Prashant.Kumar@cachematrix.com</t>
  </si>
  <si>
    <t>KIRAN ARAKALGUDU NAGARAJU</t>
  </si>
  <si>
    <t>kiranan1988@gmail.com</t>
  </si>
  <si>
    <t>Aswin</t>
  </si>
  <si>
    <t>aswin.j.jose@accenture.com</t>
  </si>
  <si>
    <t>MOHIT BANSAL</t>
  </si>
  <si>
    <t>m.c.bansal@accenture.com</t>
  </si>
  <si>
    <t>sunil Bhargav</t>
  </si>
  <si>
    <t>sunil.bhargav@accenture.com</t>
  </si>
  <si>
    <t>DINESH TAMILSELVAN</t>
  </si>
  <si>
    <t>dinesh.ts@caratlane.com</t>
  </si>
  <si>
    <t>JSC_CARATLANE</t>
  </si>
  <si>
    <t>CARATLANE TRADING PVT LTD</t>
  </si>
  <si>
    <t>poonamkumar.v@caratlane.com</t>
  </si>
  <si>
    <t>AMARNATH KRISHNAN</t>
  </si>
  <si>
    <t>amarnath.k@caratlane.com</t>
  </si>
  <si>
    <t>Zeomega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</si>
</sst>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rgb="FFFF0000"/>
      <name val="Marlett"/>
      <charset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5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0" fontId="0" fillId="0" borderId="0" xfId="0" applyNumberFormat="1"/>
    <xf numFmtId="10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43" fontId="0" fillId="0" borderId="0" xfId="0" applyNumberFormat="1"/>
    <xf numFmtId="0" fontId="5" fillId="0" borderId="0" xfId="0" applyFont="1" applyAlignment="1">
      <alignment horizontal="center"/>
    </xf>
    <xf numFmtId="43" fontId="2" fillId="0" borderId="0" xfId="1" applyFon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pivotButton="1" applyBorder="1" applyAlignment="1">
      <alignment horizontal="left" vertical="center" wrapText="1"/>
    </xf>
    <xf numFmtId="164" fontId="0" fillId="0" borderId="0" xfId="1" applyNumberFormat="1" applyFont="1" applyFill="1"/>
    <xf numFmtId="10" fontId="0" fillId="0" borderId="0" xfId="0" applyNumberFormat="1" applyFill="1"/>
    <xf numFmtId="164" fontId="0" fillId="0" borderId="0" xfId="0" applyNumberFormat="1"/>
    <xf numFmtId="43" fontId="2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15" fontId="0" fillId="0" borderId="0" xfId="0" applyNumberFormat="1"/>
    <xf numFmtId="165" fontId="0" fillId="0" borderId="0" xfId="1" applyNumberFormat="1" applyFont="1" applyAlignment="1">
      <alignment horizontal="center"/>
    </xf>
    <xf numFmtId="0" fontId="6" fillId="0" borderId="0" xfId="0" applyFont="1"/>
    <xf numFmtId="0" fontId="7" fillId="2" borderId="2" xfId="0" applyFont="1" applyFill="1" applyBorder="1" applyAlignment="1">
      <alignment horizontal="center" vertical="center" wrapText="1"/>
    </xf>
    <xf numFmtId="43" fontId="6" fillId="0" borderId="0" xfId="0" applyNumberFormat="1" applyFont="1"/>
    <xf numFmtId="43" fontId="7" fillId="0" borderId="0" xfId="1" applyFont="1"/>
    <xf numFmtId="164" fontId="2" fillId="0" borderId="0" xfId="0" applyNumberFormat="1" applyFont="1"/>
    <xf numFmtId="165" fontId="2" fillId="0" borderId="0" xfId="0" applyNumberFormat="1" applyFont="1"/>
    <xf numFmtId="0" fontId="4" fillId="0" borderId="0" xfId="0" applyFont="1" applyAlignment="1">
      <alignment horizontal="left"/>
    </xf>
    <xf numFmtId="165" fontId="2" fillId="0" borderId="0" xfId="1" applyNumberFormat="1" applyFont="1"/>
    <xf numFmtId="0" fontId="8" fillId="0" borderId="0" xfId="0" applyFont="1"/>
    <xf numFmtId="165" fontId="0" fillId="0" borderId="0" xfId="0" applyNumberFormat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2" fillId="3" borderId="1" xfId="1" applyNumberFormat="1" applyFont="1" applyFill="1" applyBorder="1" applyAlignment="1">
      <alignment horizontal="center"/>
    </xf>
    <xf numFmtId="165" fontId="4" fillId="0" borderId="0" xfId="0" applyNumberFormat="1" applyFont="1"/>
    <xf numFmtId="165" fontId="4" fillId="0" borderId="0" xfId="1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5" fontId="0" fillId="0" borderId="0" xfId="1" applyNumberFormat="1" applyFont="1" applyAlignment="1">
      <alignment horizontal="center"/>
    </xf>
    <xf numFmtId="15" fontId="0" fillId="0" borderId="0" xfId="0" applyNumberFormat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9" fillId="0" borderId="0" xfId="0" applyFont="1"/>
    <xf numFmtId="0" fontId="0" fillId="0" borderId="0" xfId="0" applyFill="1" applyAlignment="1">
      <alignment horizontal="center"/>
    </xf>
    <xf numFmtId="164" fontId="2" fillId="0" borderId="0" xfId="1" applyNumberFormat="1" applyFont="1"/>
    <xf numFmtId="0" fontId="0" fillId="0" borderId="0" xfId="0" applyFont="1"/>
    <xf numFmtId="1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3" fontId="1" fillId="0" borderId="0" xfId="1" applyFont="1"/>
    <xf numFmtId="43" fontId="6" fillId="0" borderId="0" xfId="1" applyFont="1"/>
    <xf numFmtId="43" fontId="0" fillId="0" borderId="0" xfId="1" applyFont="1" applyFill="1"/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6">
    <dxf>
      <numFmt numFmtId="165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alignment horizontal="center" vertical="center" wrapText="1" readingOrder="0"/>
    </dxf>
    <dxf>
      <alignment horizontal="center" vertical="center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manuel Eric" refreshedDate="42584.752041319443" createdVersion="5" refreshedVersion="5" minRefreshableVersion="3" recordCount="48">
  <cacheSource type="worksheet">
    <worksheetSource ref="B4:I52" sheet="Summary_Registration Fee"/>
  </cacheSource>
  <cacheFields count="8">
    <cacheField name="Date" numFmtId="15">
      <sharedItems containsSemiMixedTypes="0" containsNonDate="0" containsDate="1" containsString="0" minDate="2016-02-16T00:00:00" maxDate="2016-07-19T00:00:00"/>
    </cacheField>
    <cacheField name="Nature" numFmtId="0">
      <sharedItems count="4">
        <s v="Super Early Bird"/>
        <s v="Early Bird"/>
        <s v="JS Enthusiasts"/>
        <s v="Tarkalabs"/>
      </sharedItems>
    </cacheField>
    <cacheField name="Cost / Ticket" numFmtId="165">
      <sharedItems containsSemiMixedTypes="0" containsString="0" containsNumber="1" containsInteger="1" minValue="3000" maxValue="38133"/>
    </cacheField>
    <cacheField name="No. of Tickets" numFmtId="165">
      <sharedItems containsSemiMixedTypes="0" containsString="0" containsNumber="1" containsInteger="1" minValue="1" maxValue="30"/>
    </cacheField>
    <cacheField name="Gross" numFmtId="165">
      <sharedItems containsSemiMixedTypes="0" containsString="0" containsNumber="1" containsInteger="1" minValue="3000" maxValue="228798"/>
    </cacheField>
    <cacheField name="%" numFmtId="10">
      <sharedItems containsSemiMixedTypes="0" containsString="0" containsNumber="1" minValue="0" maxValue="3.5000000000000003E-2"/>
    </cacheField>
    <cacheField name="Amount" numFmtId="43">
      <sharedItems containsSemiMixedTypes="0" containsString="0" containsNumber="1" minValue="0" maxValue="8007.9500000000007"/>
    </cacheField>
    <cacheField name="Net" numFmtId="43">
      <sharedItems containsSemiMixedTypes="0" containsString="0" containsNumber="1" minValue="2895" maxValue="220790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d v="2016-02-16T00:00:00"/>
    <x v="0"/>
    <n v="3000"/>
    <n v="12"/>
    <n v="36000"/>
    <n v="3.5000000000000003E-2"/>
    <n v="1260"/>
    <n v="34740"/>
  </r>
  <r>
    <d v="2016-02-17T00:00:00"/>
    <x v="0"/>
    <n v="3000"/>
    <n v="2"/>
    <n v="6000"/>
    <n v="3.5000000000000003E-2"/>
    <n v="210"/>
    <n v="5790"/>
  </r>
  <r>
    <d v="2016-02-19T00:00:00"/>
    <x v="0"/>
    <n v="3000"/>
    <n v="3"/>
    <n v="9000"/>
    <n v="3.5000000000000003E-2"/>
    <n v="315"/>
    <n v="8685"/>
  </r>
  <r>
    <d v="2016-02-26T00:00:00"/>
    <x v="0"/>
    <n v="3000"/>
    <n v="30"/>
    <n v="90000"/>
    <n v="3.5000000000000003E-2"/>
    <n v="3150"/>
    <n v="86850"/>
  </r>
  <r>
    <d v="2016-02-29T00:00:00"/>
    <x v="0"/>
    <n v="3000"/>
    <n v="22"/>
    <n v="66000"/>
    <n v="3.5000000000000003E-2"/>
    <n v="2310"/>
    <n v="63690"/>
  </r>
  <r>
    <d v="2016-03-01T00:00:00"/>
    <x v="0"/>
    <n v="3000"/>
    <n v="12"/>
    <n v="36000"/>
    <n v="3.5000000000000003E-2"/>
    <n v="1365"/>
    <n v="34635"/>
  </r>
  <r>
    <d v="2016-03-01T00:00:00"/>
    <x v="1"/>
    <n v="4500"/>
    <n v="1"/>
    <n v="4500"/>
    <n v="3.5000000000000003E-2"/>
    <n v="157.5"/>
    <n v="4342.5"/>
  </r>
  <r>
    <d v="2016-03-07T00:00:00"/>
    <x v="1"/>
    <n v="3600"/>
    <n v="4"/>
    <n v="14400"/>
    <n v="3.5000000000000003E-2"/>
    <n v="504"/>
    <n v="13896"/>
  </r>
  <r>
    <d v="2016-03-09T00:00:00"/>
    <x v="1"/>
    <n v="4500"/>
    <n v="1"/>
    <n v="4500"/>
    <n v="3.5000000000000003E-2"/>
    <n v="157.5"/>
    <n v="4342.5"/>
  </r>
  <r>
    <d v="2016-03-10T00:00:00"/>
    <x v="1"/>
    <n v="4500"/>
    <n v="4"/>
    <n v="18000"/>
    <n v="3.5000000000000003E-2"/>
    <n v="630"/>
    <n v="17370"/>
  </r>
  <r>
    <d v="2016-03-11T00:00:00"/>
    <x v="1"/>
    <n v="4500"/>
    <n v="2"/>
    <n v="9000"/>
    <n v="3.5000000000000003E-2"/>
    <n v="315"/>
    <n v="8685"/>
  </r>
  <r>
    <d v="2016-04-04T00:00:00"/>
    <x v="1"/>
    <n v="4500"/>
    <n v="16"/>
    <n v="72000"/>
    <n v="3.5000000000000003E-2"/>
    <n v="2520"/>
    <n v="69480"/>
  </r>
  <r>
    <d v="2016-04-07T00:00:00"/>
    <x v="1"/>
    <n v="4500"/>
    <n v="11"/>
    <n v="49500"/>
    <n v="3.5000000000000003E-2"/>
    <n v="1732.5"/>
    <n v="47767.5"/>
  </r>
  <r>
    <d v="2016-04-08T00:00:00"/>
    <x v="1"/>
    <n v="4500"/>
    <n v="1"/>
    <n v="4500"/>
    <n v="3.5000000000000003E-2"/>
    <n v="157.5"/>
    <n v="4342.5"/>
  </r>
  <r>
    <d v="2016-04-11T00:00:00"/>
    <x v="1"/>
    <n v="4500"/>
    <n v="1"/>
    <n v="4500"/>
    <n v="3.5000000000000003E-2"/>
    <n v="157.5"/>
    <n v="4342.5"/>
  </r>
  <r>
    <d v="2016-04-15T00:00:00"/>
    <x v="2"/>
    <n v="4500"/>
    <n v="1"/>
    <n v="4500"/>
    <n v="3.5000000000000003E-2"/>
    <n v="157.5"/>
    <n v="4342.5"/>
  </r>
  <r>
    <d v="2016-04-15T00:00:00"/>
    <x v="2"/>
    <n v="6000"/>
    <n v="1"/>
    <n v="6000"/>
    <n v="3.5000000000000003E-2"/>
    <n v="210"/>
    <n v="5790"/>
  </r>
  <r>
    <d v="2016-04-20T00:00:00"/>
    <x v="2"/>
    <n v="6000"/>
    <n v="1"/>
    <n v="6000"/>
    <n v="3.5000000000000003E-2"/>
    <n v="210"/>
    <n v="5790"/>
  </r>
  <r>
    <d v="2016-05-23T00:00:00"/>
    <x v="2"/>
    <n v="6000"/>
    <n v="7"/>
    <n v="42000"/>
    <n v="3.5000000000000003E-2"/>
    <n v="1470"/>
    <n v="40530"/>
  </r>
  <r>
    <d v="2016-05-23T00:00:00"/>
    <x v="2"/>
    <n v="4020"/>
    <n v="1"/>
    <n v="4020"/>
    <n v="3.5000000000000003E-2"/>
    <n v="140.69999999999999"/>
    <n v="3879.3"/>
  </r>
  <r>
    <d v="2016-05-24T00:00:00"/>
    <x v="3"/>
    <n v="38133"/>
    <n v="6"/>
    <n v="228798"/>
    <n v="3.5000000000000003E-2"/>
    <n v="8007.9500000000007"/>
    <n v="220790.05"/>
  </r>
  <r>
    <d v="2016-05-24T00:00:00"/>
    <x v="2"/>
    <n v="6000"/>
    <n v="3"/>
    <n v="18000"/>
    <n v="3.5000000000000003E-2"/>
    <n v="630"/>
    <n v="17370"/>
  </r>
  <r>
    <d v="2016-06-03T00:00:00"/>
    <x v="2"/>
    <n v="4200"/>
    <n v="8"/>
    <n v="33600"/>
    <n v="3.5000000000000003E-2"/>
    <n v="1176"/>
    <n v="32424"/>
  </r>
  <r>
    <d v="2016-06-09T00:00:00"/>
    <x v="2"/>
    <n v="3600"/>
    <n v="10"/>
    <n v="36000"/>
    <n v="3.5000000000000003E-2"/>
    <n v="1260"/>
    <n v="34740"/>
  </r>
  <r>
    <d v="2016-06-09T00:00:00"/>
    <x v="2"/>
    <n v="4800"/>
    <n v="2"/>
    <n v="9600"/>
    <n v="3.5000000000000003E-2"/>
    <n v="336"/>
    <n v="9264"/>
  </r>
  <r>
    <d v="2016-06-09T00:00:00"/>
    <x v="2"/>
    <n v="6000"/>
    <n v="1"/>
    <n v="6000"/>
    <n v="3.5000000000000003E-2"/>
    <n v="210"/>
    <n v="5790"/>
  </r>
  <r>
    <d v="2016-06-20T00:00:00"/>
    <x v="2"/>
    <n v="4800"/>
    <n v="1"/>
    <n v="4800"/>
    <n v="3.5000000000000003E-2"/>
    <n v="168"/>
    <n v="4632"/>
  </r>
  <r>
    <d v="2016-06-20T00:00:00"/>
    <x v="2"/>
    <n v="3000"/>
    <n v="1"/>
    <n v="3000"/>
    <n v="3.5000000000000003E-2"/>
    <n v="105"/>
    <n v="2895"/>
  </r>
  <r>
    <d v="2016-06-20T00:00:00"/>
    <x v="2"/>
    <n v="3600"/>
    <n v="3"/>
    <n v="10800"/>
    <n v="3.5000000000000003E-2"/>
    <n v="378"/>
    <n v="10422"/>
  </r>
  <r>
    <d v="2016-06-20T00:00:00"/>
    <x v="2"/>
    <n v="6000"/>
    <n v="3"/>
    <n v="18000"/>
    <n v="3.5000000000000003E-2"/>
    <n v="630"/>
    <n v="17370"/>
  </r>
  <r>
    <d v="2016-06-22T00:00:00"/>
    <x v="2"/>
    <n v="4800"/>
    <n v="1"/>
    <n v="4800"/>
    <n v="3.5000000000000003E-2"/>
    <n v="168"/>
    <n v="4632"/>
  </r>
  <r>
    <d v="2016-06-22T00:00:00"/>
    <x v="2"/>
    <n v="3000"/>
    <n v="1"/>
    <n v="3000"/>
    <n v="3.5000000000000003E-2"/>
    <n v="105"/>
    <n v="2895"/>
  </r>
  <r>
    <d v="2016-06-27T00:00:00"/>
    <x v="2"/>
    <n v="6000"/>
    <n v="7"/>
    <n v="42000"/>
    <n v="3.5000000000000003E-2"/>
    <n v="1470"/>
    <n v="40530"/>
  </r>
  <r>
    <d v="2016-06-27T00:00:00"/>
    <x v="2"/>
    <n v="4500"/>
    <n v="2"/>
    <n v="9000"/>
    <n v="3.5000000000000003E-2"/>
    <n v="315"/>
    <n v="8685"/>
  </r>
  <r>
    <d v="2016-07-05T00:00:00"/>
    <x v="2"/>
    <n v="3600"/>
    <n v="13"/>
    <n v="46800"/>
    <n v="3.5000000000000003E-2"/>
    <n v="1638"/>
    <n v="45162"/>
  </r>
  <r>
    <d v="2016-07-05T00:00:00"/>
    <x v="2"/>
    <n v="6000"/>
    <n v="3"/>
    <n v="18000"/>
    <n v="3.5000000000000003E-2"/>
    <n v="630"/>
    <n v="17370"/>
  </r>
  <r>
    <d v="2016-07-05T00:00:00"/>
    <x v="2"/>
    <n v="4800"/>
    <n v="2"/>
    <n v="9600"/>
    <n v="3.5000000000000003E-2"/>
    <n v="336"/>
    <n v="9264"/>
  </r>
  <r>
    <d v="2016-07-05T00:00:00"/>
    <x v="2"/>
    <n v="3000"/>
    <n v="1"/>
    <n v="3000"/>
    <n v="3.5000000000000003E-2"/>
    <n v="105"/>
    <n v="2895"/>
  </r>
  <r>
    <d v="2016-07-08T00:00:00"/>
    <x v="2"/>
    <n v="6000"/>
    <n v="2"/>
    <n v="12000"/>
    <n v="3.5000000000000003E-2"/>
    <n v="420"/>
    <n v="11580"/>
  </r>
  <r>
    <d v="2016-07-08T00:00:00"/>
    <x v="2"/>
    <n v="3600"/>
    <n v="2"/>
    <n v="7200"/>
    <n v="3.5000000000000003E-2"/>
    <n v="252"/>
    <n v="6948"/>
  </r>
  <r>
    <d v="2016-07-12T00:00:00"/>
    <x v="2"/>
    <n v="6000"/>
    <n v="4"/>
    <n v="24000"/>
    <n v="3.5000000000000003E-2"/>
    <n v="840"/>
    <n v="23160"/>
  </r>
  <r>
    <d v="2016-07-12T00:00:00"/>
    <x v="2"/>
    <n v="3000"/>
    <n v="3"/>
    <n v="9000"/>
    <n v="3.5000000000000003E-2"/>
    <n v="315"/>
    <n v="8685"/>
  </r>
  <r>
    <d v="2016-07-12T00:00:00"/>
    <x v="2"/>
    <n v="3600"/>
    <n v="1"/>
    <n v="3600"/>
    <n v="3.5000000000000003E-2"/>
    <n v="126"/>
    <n v="3474"/>
  </r>
  <r>
    <d v="2016-07-18T00:00:00"/>
    <x v="2"/>
    <n v="6000"/>
    <n v="8"/>
    <n v="48000"/>
    <n v="3.5000000000000003E-2"/>
    <n v="1680"/>
    <n v="46320"/>
  </r>
  <r>
    <d v="2016-07-18T00:00:00"/>
    <x v="2"/>
    <n v="3000"/>
    <n v="1"/>
    <n v="3000"/>
    <n v="3.5000000000000003E-2"/>
    <n v="105"/>
    <n v="2895"/>
  </r>
  <r>
    <d v="2016-07-18T00:00:00"/>
    <x v="2"/>
    <n v="4200"/>
    <n v="2"/>
    <n v="8400"/>
    <n v="3.5000000000000003E-2"/>
    <n v="294"/>
    <n v="8106"/>
  </r>
  <r>
    <d v="2016-07-18T00:00:00"/>
    <x v="2"/>
    <n v="4800"/>
    <n v="2"/>
    <n v="9600"/>
    <n v="3.5000000000000003E-2"/>
    <n v="336"/>
    <n v="9264"/>
  </r>
  <r>
    <d v="2016-07-06T00:00:00"/>
    <x v="2"/>
    <n v="6000"/>
    <n v="2"/>
    <n v="12000"/>
    <n v="0"/>
    <n v="0"/>
    <n v="1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0" cacheId="349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M4:R9" firstHeaderRow="0" firstDataRow="1" firstDataCol="1"/>
  <pivotFields count="8">
    <pivotField numFmtId="15" showAll="0"/>
    <pivotField axis="axisRow" showAll="0">
      <items count="5">
        <item x="0"/>
        <item x="1"/>
        <item x="2"/>
        <item x="3"/>
        <item t="default"/>
      </items>
    </pivotField>
    <pivotField dataField="1" numFmtId="165" showAll="0"/>
    <pivotField dataField="1" numFmtId="165" showAll="0"/>
    <pivotField dataField="1" numFmtId="165" showAll="0"/>
    <pivotField numFmtId="10" showAll="0"/>
    <pivotField dataField="1" numFmtId="43" showAll="0"/>
    <pivotField dataField="1" numFmtId="4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Tickets" fld="3" baseField="0" baseItem="0"/>
    <dataField name="Average of Cost / Ticket" fld="2" subtotal="average" baseField="1" baseItem="0"/>
    <dataField name="Gross Credit" fld="4" baseField="0" baseItem="0"/>
    <dataField name="Commision" fld="6" baseField="0" baseItem="0"/>
    <dataField name="Bank Credit" fld="7" baseField="0" baseItem="0"/>
  </dataFields>
  <formats count="6">
    <format dxfId="5">
      <pivotArea field="1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">
      <pivotArea field="1" type="button" dataOnly="0" labelOnly="1" outline="0" axis="axisRow" fieldPosition="0"/>
    </format>
    <format dxfId="2">
      <pivotArea field="1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zoomScale="85" zoomScaleNormal="85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2" max="2" width="30.85546875" bestFit="1" customWidth="1"/>
    <col min="3" max="3" width="10.5703125" customWidth="1"/>
    <col min="4" max="4" width="11.5703125" bestFit="1" customWidth="1"/>
    <col min="5" max="5" width="15.28515625" bestFit="1" customWidth="1"/>
    <col min="6" max="6" width="9.140625" style="3"/>
    <col min="10" max="10" width="13.28515625" bestFit="1" customWidth="1"/>
    <col min="11" max="11" width="10.5703125" bestFit="1" customWidth="1"/>
  </cols>
  <sheetData>
    <row r="1" spans="1:15" ht="26.25" x14ac:dyDescent="0.4">
      <c r="A1" s="1" t="s">
        <v>100</v>
      </c>
    </row>
    <row r="2" spans="1:15" ht="19.5" x14ac:dyDescent="0.3">
      <c r="A2" s="2" t="s">
        <v>0</v>
      </c>
    </row>
    <row r="4" spans="1:15" ht="19.5" x14ac:dyDescent="0.3">
      <c r="B4" s="2" t="s">
        <v>84</v>
      </c>
      <c r="C4" s="2"/>
      <c r="E4" s="32">
        <f>SUM(D6:D9)</f>
        <v>1128018</v>
      </c>
    </row>
    <row r="5" spans="1:15" x14ac:dyDescent="0.25">
      <c r="B5" s="16"/>
      <c r="C5" s="37" t="s">
        <v>90</v>
      </c>
      <c r="D5" s="38" t="s">
        <v>91</v>
      </c>
    </row>
    <row r="6" spans="1:15" x14ac:dyDescent="0.25">
      <c r="B6" s="16" t="s">
        <v>8</v>
      </c>
      <c r="C6" s="17">
        <f>COUNTIF('Input Data_Site'!$C$2:$C$202,B6)</f>
        <v>81</v>
      </c>
      <c r="D6" s="9">
        <f>SUMIF('Input Data_Site'!$C$2:$C$229,B6,'Input Data_Site'!$Q$2:$Q$229)</f>
        <v>243000</v>
      </c>
      <c r="J6" s="9"/>
    </row>
    <row r="7" spans="1:15" x14ac:dyDescent="0.25">
      <c r="B7" s="16" t="s">
        <v>12</v>
      </c>
      <c r="C7" s="17">
        <f>COUNTIF('Input Data_Site'!$C$2:$C$202,B7)</f>
        <v>41</v>
      </c>
      <c r="D7" s="9">
        <f>SUMIF('Input Data_Site'!$C$2:$C$229,B7,'Input Data_Site'!$Q$2:$Q$229)</f>
        <v>180900</v>
      </c>
      <c r="J7" s="9"/>
    </row>
    <row r="8" spans="1:15" x14ac:dyDescent="0.25">
      <c r="B8" s="16" t="s">
        <v>359</v>
      </c>
      <c r="C8" s="17">
        <f>COUNTIF('Input Data_Site'!$C$2:$C$202,B8)</f>
        <v>73</v>
      </c>
      <c r="D8" s="9">
        <f>SUMIF('Input Data_Site'!$C$2:$C$229,B8,'Input Data_Site'!$Q$2:$Q$229)</f>
        <v>475320</v>
      </c>
      <c r="J8" s="9"/>
    </row>
    <row r="9" spans="1:15" x14ac:dyDescent="0.25">
      <c r="B9" s="16" t="s">
        <v>426</v>
      </c>
      <c r="C9" s="17">
        <f>COUNTIF('Input Data_Site'!$C$2:$C$202,B9)</f>
        <v>6</v>
      </c>
      <c r="D9" s="9">
        <f>SUMIF('Input Data_Site'!$C$2:$C$229,B9,'Input Data_Site'!$Q$2:$Q$229)</f>
        <v>228798</v>
      </c>
      <c r="J9" s="9"/>
    </row>
    <row r="10" spans="1:15" x14ac:dyDescent="0.25">
      <c r="B10" s="16"/>
      <c r="C10" s="17"/>
      <c r="D10" s="9"/>
      <c r="J10" s="9"/>
      <c r="K10" s="17"/>
      <c r="O10" s="17"/>
    </row>
    <row r="11" spans="1:15" s="2" customFormat="1" ht="19.5" x14ac:dyDescent="0.3">
      <c r="B11" s="33" t="s">
        <v>93</v>
      </c>
      <c r="C11" s="39"/>
      <c r="D11" s="40"/>
      <c r="E11" s="32">
        <f>SUM(D13:D16)</f>
        <v>0</v>
      </c>
      <c r="F11" s="41"/>
    </row>
    <row r="12" spans="1:15" x14ac:dyDescent="0.25">
      <c r="B12" s="16"/>
      <c r="C12" s="37" t="s">
        <v>94</v>
      </c>
      <c r="D12" s="38" t="s">
        <v>10</v>
      </c>
    </row>
    <row r="13" spans="1:15" x14ac:dyDescent="0.25">
      <c r="B13" t="s">
        <v>252</v>
      </c>
      <c r="C13" s="36" t="s">
        <v>252</v>
      </c>
      <c r="D13" s="9">
        <v>0</v>
      </c>
    </row>
    <row r="14" spans="1:15" x14ac:dyDescent="0.25">
      <c r="B14" t="s">
        <v>252</v>
      </c>
      <c r="C14" s="36" t="s">
        <v>252</v>
      </c>
      <c r="D14" s="9">
        <v>0</v>
      </c>
    </row>
    <row r="15" spans="1:15" x14ac:dyDescent="0.25">
      <c r="B15" t="s">
        <v>252</v>
      </c>
      <c r="C15" s="36" t="s">
        <v>252</v>
      </c>
      <c r="D15" s="9">
        <v>0</v>
      </c>
    </row>
    <row r="16" spans="1:15" x14ac:dyDescent="0.25">
      <c r="B16" t="s">
        <v>252</v>
      </c>
      <c r="C16" s="36" t="s">
        <v>252</v>
      </c>
      <c r="D16" s="9">
        <v>0</v>
      </c>
    </row>
    <row r="18" spans="2:6" s="35" customFormat="1" ht="19.5" x14ac:dyDescent="0.3">
      <c r="B18" s="2" t="s">
        <v>95</v>
      </c>
      <c r="E18" s="32">
        <f>E4+E11</f>
        <v>1128018</v>
      </c>
      <c r="F18" s="42" t="s">
        <v>97</v>
      </c>
    </row>
    <row r="20" spans="2:6" ht="19.5" x14ac:dyDescent="0.3">
      <c r="B20" s="33" t="s">
        <v>85</v>
      </c>
      <c r="C20" s="33"/>
      <c r="E20" s="34">
        <f>SUM('Input Data_Site'!S2:S229)+105</f>
        <v>39165.65</v>
      </c>
    </row>
    <row r="22" spans="2:6" ht="19.5" x14ac:dyDescent="0.3">
      <c r="B22" s="2" t="s">
        <v>86</v>
      </c>
      <c r="C22" s="2"/>
      <c r="E22" s="32">
        <f>SUM(D23:D27)</f>
        <v>-543052</v>
      </c>
    </row>
    <row r="23" spans="2:6" x14ac:dyDescent="0.25">
      <c r="B23" t="s">
        <v>87</v>
      </c>
      <c r="D23" s="9">
        <v>0</v>
      </c>
    </row>
    <row r="24" spans="2:6" x14ac:dyDescent="0.25">
      <c r="B24" t="s">
        <v>88</v>
      </c>
      <c r="D24" s="9">
        <v>-222552</v>
      </c>
    </row>
    <row r="25" spans="2:6" x14ac:dyDescent="0.25">
      <c r="B25" t="s">
        <v>508</v>
      </c>
      <c r="D25" s="9">
        <v>-250000</v>
      </c>
    </row>
    <row r="26" spans="2:6" x14ac:dyDescent="0.25">
      <c r="B26" t="s">
        <v>509</v>
      </c>
      <c r="D26" s="9">
        <v>0</v>
      </c>
    </row>
    <row r="27" spans="2:6" x14ac:dyDescent="0.25">
      <c r="B27" t="s">
        <v>89</v>
      </c>
      <c r="D27" s="9">
        <v>-70500</v>
      </c>
    </row>
    <row r="29" spans="2:6" ht="19.5" x14ac:dyDescent="0.3">
      <c r="B29" s="2" t="s">
        <v>92</v>
      </c>
      <c r="E29" s="32">
        <f>-E20+E22</f>
        <v>-582217.65</v>
      </c>
      <c r="F29" s="42" t="s">
        <v>98</v>
      </c>
    </row>
    <row r="32" spans="2:6" s="35" customFormat="1" ht="19.5" x14ac:dyDescent="0.3">
      <c r="B32" s="2" t="s">
        <v>96</v>
      </c>
      <c r="E32" s="32">
        <f>E18+E29</f>
        <v>545800.35</v>
      </c>
      <c r="F32" s="42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zoomScale="85" zoomScaleNormal="85" workbookViewId="0">
      <pane ySplit="4" topLeftCell="A5" activePane="bottomLeft" state="frozen"/>
      <selection activeCell="A5" sqref="A5"/>
      <selection pane="bottomLeft" activeCell="A5" sqref="A5"/>
    </sheetView>
  </sheetViews>
  <sheetFormatPr defaultRowHeight="16.5" x14ac:dyDescent="0.25"/>
  <cols>
    <col min="2" max="2" width="11.42578125" customWidth="1"/>
    <col min="3" max="3" width="23.28515625" style="16" bestFit="1" customWidth="1"/>
    <col min="4" max="4" width="9.5703125" bestFit="1" customWidth="1"/>
    <col min="6" max="6" width="13.28515625" bestFit="1" customWidth="1"/>
    <col min="7" max="7" width="11.5703125" customWidth="1"/>
    <col min="8" max="8" width="10.5703125" bestFit="1" customWidth="1"/>
    <col min="9" max="9" width="13.28515625" style="27" bestFit="1" customWidth="1"/>
    <col min="10" max="10" width="9.140625" style="14"/>
    <col min="11" max="11" width="21.7109375" bestFit="1" customWidth="1"/>
    <col min="12" max="12" width="11.5703125" bestFit="1" customWidth="1"/>
    <col min="13" max="13" width="15.5703125" customWidth="1"/>
    <col min="14" max="14" width="8.5703125" customWidth="1"/>
    <col min="15" max="15" width="11.5703125" customWidth="1"/>
    <col min="16" max="16" width="11.28515625" customWidth="1"/>
    <col min="17" max="17" width="10.42578125" customWidth="1"/>
    <col min="18" max="18" width="11.140625" customWidth="1"/>
  </cols>
  <sheetData>
    <row r="1" spans="1:18" ht="26.25" x14ac:dyDescent="0.4">
      <c r="A1" s="1" t="s">
        <v>101</v>
      </c>
      <c r="C1"/>
    </row>
    <row r="2" spans="1:18" ht="19.5" x14ac:dyDescent="0.3">
      <c r="A2" s="2" t="s">
        <v>0</v>
      </c>
      <c r="C2"/>
    </row>
    <row r="3" spans="1:18" x14ac:dyDescent="0.25">
      <c r="C3"/>
      <c r="G3" s="56" t="s">
        <v>4</v>
      </c>
      <c r="H3" s="56"/>
    </row>
    <row r="4" spans="1:18" ht="45" x14ac:dyDescent="0.25">
      <c r="B4" s="4" t="s">
        <v>1</v>
      </c>
      <c r="C4" s="6" t="s">
        <v>2</v>
      </c>
      <c r="D4" s="4" t="s">
        <v>5</v>
      </c>
      <c r="E4" s="4" t="s">
        <v>6</v>
      </c>
      <c r="F4" s="4" t="s">
        <v>3</v>
      </c>
      <c r="G4" s="12" t="s">
        <v>9</v>
      </c>
      <c r="H4" s="12" t="s">
        <v>10</v>
      </c>
      <c r="I4" s="28" t="s">
        <v>7</v>
      </c>
      <c r="M4" s="19" t="s">
        <v>13</v>
      </c>
      <c r="N4" s="18" t="s">
        <v>16</v>
      </c>
      <c r="O4" s="18" t="s">
        <v>257</v>
      </c>
      <c r="P4" s="18" t="s">
        <v>18</v>
      </c>
      <c r="Q4" s="18" t="s">
        <v>15</v>
      </c>
      <c r="R4" s="18" t="s">
        <v>17</v>
      </c>
    </row>
    <row r="5" spans="1:18" x14ac:dyDescent="0.25">
      <c r="B5" s="5">
        <v>42416</v>
      </c>
      <c r="C5" s="16" t="s">
        <v>8</v>
      </c>
      <c r="D5" s="9">
        <v>3000</v>
      </c>
      <c r="E5" s="9">
        <v>12</v>
      </c>
      <c r="F5" s="9">
        <f t="shared" ref="F5:F12" si="0">D5*E5</f>
        <v>36000</v>
      </c>
      <c r="G5" s="11">
        <v>3.5000000000000003E-2</v>
      </c>
      <c r="H5" s="13">
        <f t="shared" ref="H5:H9" si="1">ROUND(F5*G5,2)</f>
        <v>1260</v>
      </c>
      <c r="I5" s="29">
        <f t="shared" ref="I5:I10" si="2">F5-H5</f>
        <v>34740</v>
      </c>
      <c r="J5" s="14" t="s">
        <v>11</v>
      </c>
      <c r="M5" s="16" t="s">
        <v>8</v>
      </c>
      <c r="N5" s="17">
        <v>81</v>
      </c>
      <c r="O5" s="17">
        <v>3000</v>
      </c>
      <c r="P5" s="17">
        <v>243000</v>
      </c>
      <c r="Q5" s="17">
        <v>8610</v>
      </c>
      <c r="R5" s="17">
        <v>234390</v>
      </c>
    </row>
    <row r="6" spans="1:18" x14ac:dyDescent="0.25">
      <c r="B6" s="5">
        <v>42417</v>
      </c>
      <c r="C6" s="16" t="s">
        <v>8</v>
      </c>
      <c r="D6" s="9">
        <v>3000</v>
      </c>
      <c r="E6" s="9">
        <v>2</v>
      </c>
      <c r="F6" s="9">
        <f t="shared" si="0"/>
        <v>6000</v>
      </c>
      <c r="G6" s="11">
        <v>3.5000000000000003E-2</v>
      </c>
      <c r="H6" s="13">
        <f t="shared" si="1"/>
        <v>210</v>
      </c>
      <c r="I6" s="29">
        <f t="shared" si="2"/>
        <v>5790</v>
      </c>
      <c r="J6" s="14" t="s">
        <v>11</v>
      </c>
      <c r="M6" s="16" t="s">
        <v>12</v>
      </c>
      <c r="N6" s="17">
        <v>41</v>
      </c>
      <c r="O6" s="17">
        <v>4400</v>
      </c>
      <c r="P6" s="17">
        <v>180900</v>
      </c>
      <c r="Q6" s="17">
        <v>6331.5</v>
      </c>
      <c r="R6" s="17">
        <v>174568.5</v>
      </c>
    </row>
    <row r="7" spans="1:18" x14ac:dyDescent="0.25">
      <c r="B7" s="5">
        <v>42419</v>
      </c>
      <c r="C7" s="16" t="s">
        <v>8</v>
      </c>
      <c r="D7" s="9">
        <v>3000</v>
      </c>
      <c r="E7" s="9">
        <v>3</v>
      </c>
      <c r="F7" s="9">
        <f t="shared" si="0"/>
        <v>9000</v>
      </c>
      <c r="G7" s="11">
        <v>3.5000000000000003E-2</v>
      </c>
      <c r="H7" s="13">
        <f t="shared" si="1"/>
        <v>315</v>
      </c>
      <c r="I7" s="29">
        <f t="shared" si="2"/>
        <v>8685</v>
      </c>
      <c r="J7" s="14" t="s">
        <v>11</v>
      </c>
      <c r="M7" s="16" t="s">
        <v>359</v>
      </c>
      <c r="N7" s="17">
        <v>100</v>
      </c>
      <c r="O7" s="17">
        <v>4700.625</v>
      </c>
      <c r="P7" s="17">
        <v>475320</v>
      </c>
      <c r="Q7" s="17">
        <v>16216.2</v>
      </c>
      <c r="R7" s="17">
        <v>459103.8</v>
      </c>
    </row>
    <row r="8" spans="1:18" x14ac:dyDescent="0.25">
      <c r="B8" s="5">
        <v>42426</v>
      </c>
      <c r="C8" s="16" t="s">
        <v>8</v>
      </c>
      <c r="D8" s="9">
        <v>3000</v>
      </c>
      <c r="E8" s="9">
        <v>30</v>
      </c>
      <c r="F8" s="9">
        <f t="shared" si="0"/>
        <v>90000</v>
      </c>
      <c r="G8" s="11">
        <v>3.5000000000000003E-2</v>
      </c>
      <c r="H8" s="13">
        <f t="shared" si="1"/>
        <v>3150</v>
      </c>
      <c r="I8" s="29">
        <f t="shared" si="2"/>
        <v>86850</v>
      </c>
      <c r="J8" s="14" t="s">
        <v>11</v>
      </c>
      <c r="M8" s="16" t="s">
        <v>426</v>
      </c>
      <c r="N8" s="17">
        <v>6</v>
      </c>
      <c r="O8" s="17">
        <v>38133</v>
      </c>
      <c r="P8" s="17">
        <v>228798</v>
      </c>
      <c r="Q8" s="17">
        <v>8007.9500000000007</v>
      </c>
      <c r="R8" s="17">
        <v>220790.05</v>
      </c>
    </row>
    <row r="9" spans="1:18" x14ac:dyDescent="0.25">
      <c r="B9" s="5">
        <v>42429</v>
      </c>
      <c r="C9" s="16" t="s">
        <v>8</v>
      </c>
      <c r="D9" s="9">
        <v>3000</v>
      </c>
      <c r="E9" s="9">
        <v>22</v>
      </c>
      <c r="F9" s="9">
        <f t="shared" si="0"/>
        <v>66000</v>
      </c>
      <c r="G9" s="11">
        <v>3.5000000000000003E-2</v>
      </c>
      <c r="H9" s="13">
        <f t="shared" si="1"/>
        <v>2310</v>
      </c>
      <c r="I9" s="29">
        <f t="shared" si="2"/>
        <v>63690</v>
      </c>
      <c r="J9" s="14" t="s">
        <v>11</v>
      </c>
      <c r="M9" s="16" t="s">
        <v>14</v>
      </c>
      <c r="N9" s="17">
        <v>228</v>
      </c>
      <c r="O9" s="17">
        <v>5128.1875</v>
      </c>
      <c r="P9" s="17">
        <v>1128018</v>
      </c>
      <c r="Q9" s="17">
        <v>39165.65</v>
      </c>
      <c r="R9" s="17">
        <v>1088852.3500000001</v>
      </c>
    </row>
    <row r="10" spans="1:18" x14ac:dyDescent="0.25">
      <c r="B10" s="5">
        <v>42430</v>
      </c>
      <c r="C10" s="16" t="s">
        <v>8</v>
      </c>
      <c r="D10" s="9">
        <v>3000</v>
      </c>
      <c r="E10" s="9">
        <v>12</v>
      </c>
      <c r="F10" s="9">
        <f t="shared" si="0"/>
        <v>36000</v>
      </c>
      <c r="G10" s="11">
        <v>3.5000000000000003E-2</v>
      </c>
      <c r="H10" s="13">
        <f>ROUND(F10*G10,2)+105</f>
        <v>1365</v>
      </c>
      <c r="I10" s="29">
        <f t="shared" si="2"/>
        <v>34635</v>
      </c>
      <c r="J10" s="14" t="s">
        <v>11</v>
      </c>
      <c r="K10" s="47" t="s">
        <v>286</v>
      </c>
    </row>
    <row r="11" spans="1:18" x14ac:dyDescent="0.25">
      <c r="B11" s="5">
        <v>42430</v>
      </c>
      <c r="C11" s="16" t="s">
        <v>12</v>
      </c>
      <c r="D11" s="9">
        <v>4500</v>
      </c>
      <c r="E11" s="9">
        <v>1</v>
      </c>
      <c r="F11" s="9">
        <f t="shared" si="0"/>
        <v>4500</v>
      </c>
      <c r="G11" s="11">
        <v>3.5000000000000003E-2</v>
      </c>
      <c r="H11" s="13">
        <f t="shared" ref="H11" si="3">ROUND(F11*G11,2)</f>
        <v>157.5</v>
      </c>
      <c r="I11" s="29">
        <f t="shared" ref="I11" si="4">F11-H11</f>
        <v>4342.5</v>
      </c>
      <c r="J11" s="14" t="s">
        <v>11</v>
      </c>
    </row>
    <row r="12" spans="1:18" x14ac:dyDescent="0.25">
      <c r="B12" s="5">
        <v>42436</v>
      </c>
      <c r="C12" s="16" t="s">
        <v>12</v>
      </c>
      <c r="D12" s="9">
        <v>3600</v>
      </c>
      <c r="E12" s="9">
        <v>4</v>
      </c>
      <c r="F12" s="9">
        <f t="shared" si="0"/>
        <v>14400</v>
      </c>
      <c r="G12" s="11">
        <v>3.5000000000000003E-2</v>
      </c>
      <c r="H12" s="13">
        <f t="shared" ref="H12:H13" si="5">ROUND(F12*G12,2)</f>
        <v>504</v>
      </c>
      <c r="I12" s="29">
        <f t="shared" ref="I12:I13" si="6">F12-H12</f>
        <v>13896</v>
      </c>
      <c r="J12" s="14" t="s">
        <v>11</v>
      </c>
    </row>
    <row r="13" spans="1:18" x14ac:dyDescent="0.25">
      <c r="B13" s="5">
        <v>42438</v>
      </c>
      <c r="C13" s="16" t="s">
        <v>12</v>
      </c>
      <c r="D13" s="9">
        <v>4500</v>
      </c>
      <c r="E13" s="9">
        <v>1</v>
      </c>
      <c r="F13" s="9">
        <f t="shared" ref="F13" si="7">D13*E13</f>
        <v>4500</v>
      </c>
      <c r="G13" s="11">
        <v>3.5000000000000003E-2</v>
      </c>
      <c r="H13" s="13">
        <f t="shared" si="5"/>
        <v>157.5</v>
      </c>
      <c r="I13" s="29">
        <f t="shared" si="6"/>
        <v>4342.5</v>
      </c>
      <c r="J13" s="14" t="s">
        <v>11</v>
      </c>
    </row>
    <row r="14" spans="1:18" x14ac:dyDescent="0.25">
      <c r="B14" s="5">
        <v>42439</v>
      </c>
      <c r="C14" s="16" t="s">
        <v>12</v>
      </c>
      <c r="D14" s="9">
        <v>4500</v>
      </c>
      <c r="E14" s="9">
        <v>4</v>
      </c>
      <c r="F14" s="9">
        <f t="shared" ref="F14:F18" si="8">D14*E14</f>
        <v>18000</v>
      </c>
      <c r="G14" s="11">
        <v>3.5000000000000003E-2</v>
      </c>
      <c r="H14" s="13">
        <f t="shared" ref="H14" si="9">ROUND(F14*G14,2)</f>
        <v>630</v>
      </c>
      <c r="I14" s="29">
        <f t="shared" ref="I14" si="10">F14-H14</f>
        <v>17370</v>
      </c>
      <c r="J14" s="14" t="s">
        <v>11</v>
      </c>
    </row>
    <row r="15" spans="1:18" x14ac:dyDescent="0.25">
      <c r="B15" s="5">
        <v>42440</v>
      </c>
      <c r="C15" s="16" t="s">
        <v>12</v>
      </c>
      <c r="D15" s="9">
        <v>4500</v>
      </c>
      <c r="E15" s="9">
        <v>2</v>
      </c>
      <c r="F15" s="9">
        <f t="shared" si="8"/>
        <v>9000</v>
      </c>
      <c r="G15" s="11">
        <v>3.5000000000000003E-2</v>
      </c>
      <c r="H15" s="13">
        <f t="shared" ref="H15" si="11">ROUND(F15*G15,2)</f>
        <v>315</v>
      </c>
      <c r="I15" s="29">
        <f t="shared" ref="I15" si="12">F15-H15</f>
        <v>8685</v>
      </c>
      <c r="J15" s="14" t="s">
        <v>11</v>
      </c>
    </row>
    <row r="16" spans="1:18" x14ac:dyDescent="0.25">
      <c r="B16" s="5">
        <v>42464</v>
      </c>
      <c r="C16" s="16" t="s">
        <v>12</v>
      </c>
      <c r="D16" s="9">
        <v>4500</v>
      </c>
      <c r="E16" s="9">
        <v>16</v>
      </c>
      <c r="F16" s="9">
        <f t="shared" si="8"/>
        <v>72000</v>
      </c>
      <c r="G16" s="11">
        <v>3.5000000000000003E-2</v>
      </c>
      <c r="H16" s="13">
        <f t="shared" ref="H16" si="13">ROUND(F16*G16,2)</f>
        <v>2520</v>
      </c>
      <c r="I16" s="29">
        <f t="shared" ref="I16" si="14">F16-H16</f>
        <v>69480</v>
      </c>
      <c r="J16" s="14" t="s">
        <v>11</v>
      </c>
    </row>
    <row r="17" spans="2:10" x14ac:dyDescent="0.25">
      <c r="B17" s="5">
        <v>42467</v>
      </c>
      <c r="C17" s="16" t="s">
        <v>12</v>
      </c>
      <c r="D17" s="9">
        <v>4500</v>
      </c>
      <c r="E17" s="9">
        <v>11</v>
      </c>
      <c r="F17" s="9">
        <f t="shared" si="8"/>
        <v>49500</v>
      </c>
      <c r="G17" s="11">
        <v>3.5000000000000003E-2</v>
      </c>
      <c r="H17" s="13">
        <f t="shared" ref="H17" si="15">ROUND(F17*G17,2)</f>
        <v>1732.5</v>
      </c>
      <c r="I17" s="29">
        <f t="shared" ref="I17" si="16">F17-H17</f>
        <v>47767.5</v>
      </c>
      <c r="J17" s="14" t="s">
        <v>11</v>
      </c>
    </row>
    <row r="18" spans="2:10" x14ac:dyDescent="0.25">
      <c r="B18" s="5">
        <v>42468</v>
      </c>
      <c r="C18" s="16" t="s">
        <v>12</v>
      </c>
      <c r="D18" s="9">
        <v>4500</v>
      </c>
      <c r="E18" s="9">
        <v>1</v>
      </c>
      <c r="F18" s="9">
        <f t="shared" si="8"/>
        <v>4500</v>
      </c>
      <c r="G18" s="11">
        <v>3.5000000000000003E-2</v>
      </c>
      <c r="H18" s="13">
        <f t="shared" ref="H18" si="17">ROUND(F18*G18,2)</f>
        <v>157.5</v>
      </c>
      <c r="I18" s="29">
        <f t="shared" ref="I18" si="18">F18-H18</f>
        <v>4342.5</v>
      </c>
      <c r="J18" s="14" t="s">
        <v>11</v>
      </c>
    </row>
    <row r="19" spans="2:10" x14ac:dyDescent="0.25">
      <c r="B19" s="5">
        <v>42471</v>
      </c>
      <c r="C19" s="16" t="s">
        <v>12</v>
      </c>
      <c r="D19" s="9">
        <v>4500</v>
      </c>
      <c r="E19" s="9">
        <v>1</v>
      </c>
      <c r="F19" s="9">
        <f t="shared" ref="F19:F21" si="19">D19*E19</f>
        <v>4500</v>
      </c>
      <c r="G19" s="11">
        <v>3.5000000000000003E-2</v>
      </c>
      <c r="H19" s="13">
        <f t="shared" ref="H19" si="20">ROUND(F19*G19,2)</f>
        <v>157.5</v>
      </c>
      <c r="I19" s="29">
        <f t="shared" ref="I19" si="21">F19-H19</f>
        <v>4342.5</v>
      </c>
      <c r="J19" s="14" t="s">
        <v>11</v>
      </c>
    </row>
    <row r="20" spans="2:10" x14ac:dyDescent="0.25">
      <c r="B20" s="5">
        <v>42475</v>
      </c>
      <c r="C20" s="16" t="s">
        <v>359</v>
      </c>
      <c r="D20" s="9">
        <v>4500</v>
      </c>
      <c r="E20" s="9">
        <v>1</v>
      </c>
      <c r="F20" s="9">
        <f t="shared" si="19"/>
        <v>4500</v>
      </c>
      <c r="G20" s="11">
        <v>3.5000000000000003E-2</v>
      </c>
      <c r="H20" s="13">
        <f t="shared" ref="H20:H21" si="22">ROUND(F20*G20,2)</f>
        <v>157.5</v>
      </c>
      <c r="I20" s="29">
        <f t="shared" ref="I20:I21" si="23">F20-H20</f>
        <v>4342.5</v>
      </c>
      <c r="J20" s="14" t="s">
        <v>11</v>
      </c>
    </row>
    <row r="21" spans="2:10" x14ac:dyDescent="0.25">
      <c r="B21" s="5">
        <v>42475</v>
      </c>
      <c r="C21" s="16" t="s">
        <v>359</v>
      </c>
      <c r="D21" s="9">
        <v>6000</v>
      </c>
      <c r="E21" s="9">
        <v>1</v>
      </c>
      <c r="F21" s="9">
        <f t="shared" si="19"/>
        <v>6000</v>
      </c>
      <c r="G21" s="11">
        <v>3.5000000000000003E-2</v>
      </c>
      <c r="H21" s="13">
        <f t="shared" si="22"/>
        <v>210</v>
      </c>
      <c r="I21" s="29">
        <f t="shared" si="23"/>
        <v>5790</v>
      </c>
      <c r="J21" s="14" t="s">
        <v>11</v>
      </c>
    </row>
    <row r="22" spans="2:10" x14ac:dyDescent="0.25">
      <c r="B22" s="5">
        <v>42480</v>
      </c>
      <c r="C22" s="16" t="s">
        <v>359</v>
      </c>
      <c r="D22" s="9">
        <v>6000</v>
      </c>
      <c r="E22" s="9">
        <v>1</v>
      </c>
      <c r="F22" s="9">
        <f t="shared" ref="F22:F25" si="24">D22*E22</f>
        <v>6000</v>
      </c>
      <c r="G22" s="11">
        <v>3.5000000000000003E-2</v>
      </c>
      <c r="H22" s="13">
        <f t="shared" ref="H22" si="25">ROUND(F22*G22,2)</f>
        <v>210</v>
      </c>
      <c r="I22" s="29">
        <f t="shared" ref="I22" si="26">F22-H22</f>
        <v>5790</v>
      </c>
      <c r="J22" s="14" t="s">
        <v>11</v>
      </c>
    </row>
    <row r="23" spans="2:10" x14ac:dyDescent="0.25">
      <c r="B23" s="5">
        <v>42513</v>
      </c>
      <c r="C23" s="16" t="s">
        <v>359</v>
      </c>
      <c r="D23" s="9">
        <v>6000</v>
      </c>
      <c r="E23" s="9">
        <v>7</v>
      </c>
      <c r="F23" s="9">
        <f t="shared" si="24"/>
        <v>42000</v>
      </c>
      <c r="G23" s="11">
        <v>3.5000000000000003E-2</v>
      </c>
      <c r="H23" s="13">
        <f t="shared" ref="H23" si="27">ROUND(F23*G23,2)</f>
        <v>1470</v>
      </c>
      <c r="I23" s="29">
        <f t="shared" ref="I23" si="28">F23-H23</f>
        <v>40530</v>
      </c>
      <c r="J23" s="14" t="s">
        <v>11</v>
      </c>
    </row>
    <row r="24" spans="2:10" x14ac:dyDescent="0.25">
      <c r="B24" s="5">
        <v>42513</v>
      </c>
      <c r="C24" s="16" t="s">
        <v>359</v>
      </c>
      <c r="D24" s="9">
        <v>4020</v>
      </c>
      <c r="E24" s="9">
        <v>1</v>
      </c>
      <c r="F24" s="9">
        <f t="shared" si="24"/>
        <v>4020</v>
      </c>
      <c r="G24" s="11">
        <v>3.5000000000000003E-2</v>
      </c>
      <c r="H24" s="13">
        <f t="shared" ref="H24" si="29">ROUND(F24*G24,2)</f>
        <v>140.69999999999999</v>
      </c>
      <c r="I24" s="29">
        <f t="shared" ref="I24" si="30">F24-H24</f>
        <v>3879.3</v>
      </c>
      <c r="J24" s="14" t="s">
        <v>11</v>
      </c>
    </row>
    <row r="25" spans="2:10" x14ac:dyDescent="0.25">
      <c r="B25" s="5">
        <v>42514</v>
      </c>
      <c r="C25" s="16" t="s">
        <v>426</v>
      </c>
      <c r="D25" s="9">
        <v>38133</v>
      </c>
      <c r="E25" s="9">
        <v>6</v>
      </c>
      <c r="F25" s="9">
        <f t="shared" si="24"/>
        <v>228798</v>
      </c>
      <c r="G25" s="11">
        <v>3.5000000000000003E-2</v>
      </c>
      <c r="H25" s="13">
        <f>ROUND(F25*G25,2)+0.02</f>
        <v>8007.9500000000007</v>
      </c>
      <c r="I25" s="29">
        <f t="shared" ref="I25:I26" si="31">F25-H25</f>
        <v>220790.05</v>
      </c>
      <c r="J25" s="14" t="s">
        <v>11</v>
      </c>
    </row>
    <row r="26" spans="2:10" x14ac:dyDescent="0.25">
      <c r="B26" s="5">
        <v>42514</v>
      </c>
      <c r="C26" s="16" t="s">
        <v>359</v>
      </c>
      <c r="D26" s="9">
        <v>6000</v>
      </c>
      <c r="E26" s="9">
        <v>3</v>
      </c>
      <c r="F26" s="9">
        <f t="shared" ref="F26:F52" si="32">D26*E26</f>
        <v>18000</v>
      </c>
      <c r="G26" s="11">
        <v>3.5000000000000003E-2</v>
      </c>
      <c r="H26" s="13">
        <f t="shared" ref="H26" si="33">ROUND(F26*G26,2)</f>
        <v>630</v>
      </c>
      <c r="I26" s="29">
        <f t="shared" si="31"/>
        <v>17370</v>
      </c>
      <c r="J26" s="14" t="s">
        <v>11</v>
      </c>
    </row>
    <row r="27" spans="2:10" x14ac:dyDescent="0.25">
      <c r="B27" s="5">
        <v>42524</v>
      </c>
      <c r="C27" s="16" t="s">
        <v>359</v>
      </c>
      <c r="D27" s="9">
        <v>4200</v>
      </c>
      <c r="E27" s="9">
        <v>8</v>
      </c>
      <c r="F27" s="9">
        <f t="shared" si="32"/>
        <v>33600</v>
      </c>
      <c r="G27" s="11">
        <v>3.5000000000000003E-2</v>
      </c>
      <c r="H27" s="13">
        <f t="shared" ref="H27" si="34">ROUND(F27*G27,2)</f>
        <v>1176</v>
      </c>
      <c r="I27" s="29">
        <f t="shared" ref="I27" si="35">F27-H27</f>
        <v>32424</v>
      </c>
      <c r="J27" s="14" t="s">
        <v>11</v>
      </c>
    </row>
    <row r="28" spans="2:10" x14ac:dyDescent="0.25">
      <c r="B28" s="5">
        <v>42530</v>
      </c>
      <c r="C28" s="16" t="s">
        <v>359</v>
      </c>
      <c r="D28" s="9">
        <v>3600</v>
      </c>
      <c r="E28" s="9">
        <v>10</v>
      </c>
      <c r="F28" s="9">
        <f t="shared" si="32"/>
        <v>36000</v>
      </c>
      <c r="G28" s="11">
        <v>3.5000000000000003E-2</v>
      </c>
      <c r="H28" s="13">
        <f t="shared" ref="H28" si="36">ROUND(F28*G28,2)</f>
        <v>1260</v>
      </c>
      <c r="I28" s="29">
        <f t="shared" ref="I28" si="37">F28-H28</f>
        <v>34740</v>
      </c>
      <c r="J28" s="14" t="s">
        <v>11</v>
      </c>
    </row>
    <row r="29" spans="2:10" x14ac:dyDescent="0.25">
      <c r="B29" s="5">
        <v>42530</v>
      </c>
      <c r="C29" s="16" t="s">
        <v>359</v>
      </c>
      <c r="D29" s="9">
        <v>4800</v>
      </c>
      <c r="E29" s="9">
        <v>2</v>
      </c>
      <c r="F29" s="9">
        <f t="shared" si="32"/>
        <v>9600</v>
      </c>
      <c r="G29" s="11">
        <v>3.5000000000000003E-2</v>
      </c>
      <c r="H29" s="13">
        <f t="shared" ref="H29" si="38">ROUND(F29*G29,2)</f>
        <v>336</v>
      </c>
      <c r="I29" s="29">
        <f t="shared" ref="I29" si="39">F29-H29</f>
        <v>9264</v>
      </c>
      <c r="J29" s="14" t="s">
        <v>11</v>
      </c>
    </row>
    <row r="30" spans="2:10" x14ac:dyDescent="0.25">
      <c r="B30" s="5">
        <v>42530</v>
      </c>
      <c r="C30" s="16" t="s">
        <v>359</v>
      </c>
      <c r="D30" s="9">
        <v>6000</v>
      </c>
      <c r="E30" s="9">
        <v>1</v>
      </c>
      <c r="F30" s="9">
        <f t="shared" si="32"/>
        <v>6000</v>
      </c>
      <c r="G30" s="11">
        <v>3.5000000000000003E-2</v>
      </c>
      <c r="H30" s="13">
        <f t="shared" ref="H30" si="40">ROUND(F30*G30,2)</f>
        <v>210</v>
      </c>
      <c r="I30" s="29">
        <f t="shared" ref="I30" si="41">F30-H30</f>
        <v>5790</v>
      </c>
      <c r="J30" s="14" t="s">
        <v>11</v>
      </c>
    </row>
    <row r="31" spans="2:10" x14ac:dyDescent="0.25">
      <c r="B31" s="5">
        <v>42541</v>
      </c>
      <c r="C31" s="16" t="s">
        <v>359</v>
      </c>
      <c r="D31" s="9">
        <v>4800</v>
      </c>
      <c r="E31" s="9">
        <v>1</v>
      </c>
      <c r="F31" s="9">
        <f t="shared" si="32"/>
        <v>4800</v>
      </c>
      <c r="G31" s="11">
        <v>3.5000000000000003E-2</v>
      </c>
      <c r="H31" s="13">
        <f t="shared" ref="H31:H34" si="42">ROUND(F31*G31,2)</f>
        <v>168</v>
      </c>
      <c r="I31" s="29">
        <f t="shared" ref="I31:I34" si="43">F31-H31</f>
        <v>4632</v>
      </c>
      <c r="J31" s="14" t="s">
        <v>11</v>
      </c>
    </row>
    <row r="32" spans="2:10" x14ac:dyDescent="0.25">
      <c r="B32" s="5">
        <v>42541</v>
      </c>
      <c r="C32" s="16" t="s">
        <v>359</v>
      </c>
      <c r="D32" s="9">
        <v>3000</v>
      </c>
      <c r="E32" s="9">
        <v>1</v>
      </c>
      <c r="F32" s="9">
        <f t="shared" si="32"/>
        <v>3000</v>
      </c>
      <c r="G32" s="11">
        <v>3.5000000000000003E-2</v>
      </c>
      <c r="H32" s="13">
        <f t="shared" si="42"/>
        <v>105</v>
      </c>
      <c r="I32" s="29">
        <f t="shared" si="43"/>
        <v>2895</v>
      </c>
      <c r="J32" s="14" t="s">
        <v>11</v>
      </c>
    </row>
    <row r="33" spans="2:10" x14ac:dyDescent="0.25">
      <c r="B33" s="5">
        <v>42541</v>
      </c>
      <c r="C33" s="16" t="s">
        <v>359</v>
      </c>
      <c r="D33" s="9">
        <v>3600</v>
      </c>
      <c r="E33" s="9">
        <v>3</v>
      </c>
      <c r="F33" s="9">
        <f t="shared" si="32"/>
        <v>10800</v>
      </c>
      <c r="G33" s="11">
        <v>3.5000000000000003E-2</v>
      </c>
      <c r="H33" s="13">
        <f t="shared" si="42"/>
        <v>378</v>
      </c>
      <c r="I33" s="29">
        <f t="shared" si="43"/>
        <v>10422</v>
      </c>
      <c r="J33" s="14" t="s">
        <v>11</v>
      </c>
    </row>
    <row r="34" spans="2:10" x14ac:dyDescent="0.25">
      <c r="B34" s="5">
        <v>42541</v>
      </c>
      <c r="C34" s="16" t="s">
        <v>359</v>
      </c>
      <c r="D34" s="9">
        <v>6000</v>
      </c>
      <c r="E34" s="9">
        <v>3</v>
      </c>
      <c r="F34" s="9">
        <f t="shared" si="32"/>
        <v>18000</v>
      </c>
      <c r="G34" s="11">
        <v>3.5000000000000003E-2</v>
      </c>
      <c r="H34" s="13">
        <f t="shared" si="42"/>
        <v>630</v>
      </c>
      <c r="I34" s="29">
        <f t="shared" si="43"/>
        <v>17370</v>
      </c>
      <c r="J34" s="14" t="s">
        <v>11</v>
      </c>
    </row>
    <row r="35" spans="2:10" x14ac:dyDescent="0.25">
      <c r="B35" s="5">
        <v>42543</v>
      </c>
      <c r="C35" s="16" t="s">
        <v>359</v>
      </c>
      <c r="D35" s="9">
        <v>4800</v>
      </c>
      <c r="E35" s="9">
        <v>1</v>
      </c>
      <c r="F35" s="9">
        <f t="shared" si="32"/>
        <v>4800</v>
      </c>
      <c r="G35" s="11">
        <v>3.5000000000000003E-2</v>
      </c>
      <c r="H35" s="13">
        <f t="shared" ref="H35:H36" si="44">ROUND(F35*G35,2)</f>
        <v>168</v>
      </c>
      <c r="I35" s="29">
        <f t="shared" ref="I35:I36" si="45">F35-H35</f>
        <v>4632</v>
      </c>
      <c r="J35" s="14" t="s">
        <v>11</v>
      </c>
    </row>
    <row r="36" spans="2:10" x14ac:dyDescent="0.25">
      <c r="B36" s="5">
        <v>42543</v>
      </c>
      <c r="C36" s="16" t="s">
        <v>359</v>
      </c>
      <c r="D36" s="9">
        <v>3000</v>
      </c>
      <c r="E36" s="9">
        <v>1</v>
      </c>
      <c r="F36" s="9">
        <f t="shared" si="32"/>
        <v>3000</v>
      </c>
      <c r="G36" s="11">
        <v>3.5000000000000003E-2</v>
      </c>
      <c r="H36" s="13">
        <f t="shared" si="44"/>
        <v>105</v>
      </c>
      <c r="I36" s="29">
        <f t="shared" si="45"/>
        <v>2895</v>
      </c>
      <c r="J36" s="14" t="s">
        <v>11</v>
      </c>
    </row>
    <row r="37" spans="2:10" x14ac:dyDescent="0.25">
      <c r="B37" s="5">
        <v>42548</v>
      </c>
      <c r="C37" s="16" t="s">
        <v>359</v>
      </c>
      <c r="D37" s="9">
        <v>6000</v>
      </c>
      <c r="E37" s="9">
        <v>7</v>
      </c>
      <c r="F37" s="9">
        <f t="shared" si="32"/>
        <v>42000</v>
      </c>
      <c r="G37" s="11">
        <v>3.5000000000000003E-2</v>
      </c>
      <c r="H37" s="13">
        <f t="shared" ref="H37" si="46">ROUND(F37*G37,2)</f>
        <v>1470</v>
      </c>
      <c r="I37" s="29">
        <f t="shared" ref="I37" si="47">F37-H37</f>
        <v>40530</v>
      </c>
      <c r="J37" s="14" t="s">
        <v>11</v>
      </c>
    </row>
    <row r="38" spans="2:10" x14ac:dyDescent="0.25">
      <c r="B38" s="5">
        <v>42548</v>
      </c>
      <c r="C38" s="16" t="s">
        <v>359</v>
      </c>
      <c r="D38" s="9">
        <v>4500</v>
      </c>
      <c r="E38" s="9">
        <v>2</v>
      </c>
      <c r="F38" s="9">
        <f t="shared" si="32"/>
        <v>9000</v>
      </c>
      <c r="G38" s="11">
        <v>3.5000000000000003E-2</v>
      </c>
      <c r="H38" s="13">
        <f t="shared" ref="H38" si="48">ROUND(F38*G38,2)</f>
        <v>315</v>
      </c>
      <c r="I38" s="29">
        <f t="shared" ref="I38" si="49">F38-H38</f>
        <v>8685</v>
      </c>
      <c r="J38" s="14" t="s">
        <v>11</v>
      </c>
    </row>
    <row r="39" spans="2:10" x14ac:dyDescent="0.25">
      <c r="B39" s="5">
        <v>42556</v>
      </c>
      <c r="C39" s="16" t="s">
        <v>359</v>
      </c>
      <c r="D39" s="9">
        <v>3600</v>
      </c>
      <c r="E39" s="9">
        <v>13</v>
      </c>
      <c r="F39" s="9">
        <f t="shared" si="32"/>
        <v>46800</v>
      </c>
      <c r="G39" s="11">
        <v>3.5000000000000003E-2</v>
      </c>
      <c r="H39" s="13">
        <f t="shared" ref="H39" si="50">ROUND(F39*G39,2)</f>
        <v>1638</v>
      </c>
      <c r="I39" s="29">
        <f t="shared" ref="I39" si="51">F39-H39</f>
        <v>45162</v>
      </c>
      <c r="J39" s="14" t="s">
        <v>11</v>
      </c>
    </row>
    <row r="40" spans="2:10" x14ac:dyDescent="0.25">
      <c r="B40" s="5">
        <v>42556</v>
      </c>
      <c r="C40" s="16" t="s">
        <v>359</v>
      </c>
      <c r="D40" s="9">
        <v>6000</v>
      </c>
      <c r="E40" s="9">
        <v>3</v>
      </c>
      <c r="F40" s="9">
        <f t="shared" si="32"/>
        <v>18000</v>
      </c>
      <c r="G40" s="11">
        <v>3.5000000000000003E-2</v>
      </c>
      <c r="H40" s="13">
        <f t="shared" ref="H40" si="52">ROUND(F40*G40,2)</f>
        <v>630</v>
      </c>
      <c r="I40" s="29">
        <f t="shared" ref="I40" si="53">F40-H40</f>
        <v>17370</v>
      </c>
      <c r="J40" s="14" t="s">
        <v>11</v>
      </c>
    </row>
    <row r="41" spans="2:10" x14ac:dyDescent="0.25">
      <c r="B41" s="5">
        <v>42556</v>
      </c>
      <c r="C41" s="16" t="s">
        <v>359</v>
      </c>
      <c r="D41" s="9">
        <v>4800</v>
      </c>
      <c r="E41" s="9">
        <v>2</v>
      </c>
      <c r="F41" s="9">
        <f t="shared" si="32"/>
        <v>9600</v>
      </c>
      <c r="G41" s="11">
        <v>3.5000000000000003E-2</v>
      </c>
      <c r="H41" s="13">
        <f t="shared" ref="H41" si="54">ROUND(F41*G41,2)</f>
        <v>336</v>
      </c>
      <c r="I41" s="29">
        <f t="shared" ref="I41" si="55">F41-H41</f>
        <v>9264</v>
      </c>
      <c r="J41" s="14" t="s">
        <v>11</v>
      </c>
    </row>
    <row r="42" spans="2:10" x14ac:dyDescent="0.25">
      <c r="B42" s="5">
        <v>42556</v>
      </c>
      <c r="C42" s="16" t="s">
        <v>359</v>
      </c>
      <c r="D42" s="9">
        <v>3000</v>
      </c>
      <c r="E42" s="9">
        <v>1</v>
      </c>
      <c r="F42" s="9">
        <f t="shared" si="32"/>
        <v>3000</v>
      </c>
      <c r="G42" s="11">
        <v>3.5000000000000003E-2</v>
      </c>
      <c r="H42" s="13">
        <f t="shared" ref="H42" si="56">ROUND(F42*G42,2)</f>
        <v>105</v>
      </c>
      <c r="I42" s="29">
        <f t="shared" ref="I42" si="57">F42-H42</f>
        <v>2895</v>
      </c>
      <c r="J42" s="14" t="s">
        <v>11</v>
      </c>
    </row>
    <row r="43" spans="2:10" x14ac:dyDescent="0.25">
      <c r="B43" s="5">
        <v>42559</v>
      </c>
      <c r="C43" s="16" t="s">
        <v>359</v>
      </c>
      <c r="D43" s="9">
        <v>6000</v>
      </c>
      <c r="E43" s="9">
        <v>2</v>
      </c>
      <c r="F43" s="9">
        <f t="shared" si="32"/>
        <v>12000</v>
      </c>
      <c r="G43" s="11">
        <v>3.5000000000000003E-2</v>
      </c>
      <c r="H43" s="13">
        <f t="shared" ref="H43" si="58">ROUND(F43*G43,2)</f>
        <v>420</v>
      </c>
      <c r="I43" s="29">
        <f t="shared" ref="I43" si="59">F43-H43</f>
        <v>11580</v>
      </c>
      <c r="J43" s="14" t="s">
        <v>11</v>
      </c>
    </row>
    <row r="44" spans="2:10" x14ac:dyDescent="0.25">
      <c r="B44" s="5">
        <v>42559</v>
      </c>
      <c r="C44" s="16" t="s">
        <v>359</v>
      </c>
      <c r="D44" s="9">
        <v>3600</v>
      </c>
      <c r="E44" s="9">
        <v>2</v>
      </c>
      <c r="F44" s="9">
        <f t="shared" si="32"/>
        <v>7200</v>
      </c>
      <c r="G44" s="11">
        <v>3.5000000000000003E-2</v>
      </c>
      <c r="H44" s="13">
        <f t="shared" ref="H44" si="60">ROUND(F44*G44,2)</f>
        <v>252</v>
      </c>
      <c r="I44" s="29">
        <f t="shared" ref="I44" si="61">F44-H44</f>
        <v>6948</v>
      </c>
      <c r="J44" s="14" t="s">
        <v>11</v>
      </c>
    </row>
    <row r="45" spans="2:10" x14ac:dyDescent="0.25">
      <c r="B45" s="5">
        <v>42563</v>
      </c>
      <c r="C45" s="16" t="s">
        <v>359</v>
      </c>
      <c r="D45" s="9">
        <v>6000</v>
      </c>
      <c r="E45" s="9">
        <v>4</v>
      </c>
      <c r="F45" s="9">
        <f t="shared" si="32"/>
        <v>24000</v>
      </c>
      <c r="G45" s="11">
        <v>3.5000000000000003E-2</v>
      </c>
      <c r="H45" s="13">
        <f t="shared" ref="H45" si="62">ROUND(F45*G45,2)</f>
        <v>840</v>
      </c>
      <c r="I45" s="29">
        <f t="shared" ref="I45" si="63">F45-H45</f>
        <v>23160</v>
      </c>
      <c r="J45" s="14" t="s">
        <v>11</v>
      </c>
    </row>
    <row r="46" spans="2:10" x14ac:dyDescent="0.25">
      <c r="B46" s="5">
        <v>42563</v>
      </c>
      <c r="C46" s="16" t="s">
        <v>359</v>
      </c>
      <c r="D46" s="9">
        <v>3000</v>
      </c>
      <c r="E46" s="9">
        <v>3</v>
      </c>
      <c r="F46" s="9">
        <f t="shared" si="32"/>
        <v>9000</v>
      </c>
      <c r="G46" s="11">
        <v>3.5000000000000003E-2</v>
      </c>
      <c r="H46" s="13">
        <f t="shared" ref="H46" si="64">ROUND(F46*G46,2)</f>
        <v>315</v>
      </c>
      <c r="I46" s="29">
        <f t="shared" ref="I46" si="65">F46-H46</f>
        <v>8685</v>
      </c>
      <c r="J46" s="14" t="s">
        <v>11</v>
      </c>
    </row>
    <row r="47" spans="2:10" x14ac:dyDescent="0.25">
      <c r="B47" s="5">
        <v>42563</v>
      </c>
      <c r="C47" s="16" t="s">
        <v>359</v>
      </c>
      <c r="D47" s="9">
        <v>3600</v>
      </c>
      <c r="E47" s="9">
        <v>1</v>
      </c>
      <c r="F47" s="9">
        <f t="shared" si="32"/>
        <v>3600</v>
      </c>
      <c r="G47" s="11">
        <v>3.5000000000000003E-2</v>
      </c>
      <c r="H47" s="13">
        <f t="shared" ref="H47" si="66">ROUND(F47*G47,2)</f>
        <v>126</v>
      </c>
      <c r="I47" s="29">
        <f t="shared" ref="I47" si="67">F47-H47</f>
        <v>3474</v>
      </c>
      <c r="J47" s="14" t="s">
        <v>11</v>
      </c>
    </row>
    <row r="48" spans="2:10" x14ac:dyDescent="0.25">
      <c r="B48" s="5">
        <v>42569</v>
      </c>
      <c r="C48" s="16" t="s">
        <v>359</v>
      </c>
      <c r="D48" s="9">
        <v>6000</v>
      </c>
      <c r="E48" s="9">
        <v>8</v>
      </c>
      <c r="F48" s="9">
        <f t="shared" si="32"/>
        <v>48000</v>
      </c>
      <c r="G48" s="11">
        <v>3.5000000000000003E-2</v>
      </c>
      <c r="H48" s="13">
        <f t="shared" ref="H48" si="68">ROUND(F48*G48,2)</f>
        <v>1680</v>
      </c>
      <c r="I48" s="29">
        <f t="shared" ref="I48" si="69">F48-H48</f>
        <v>46320</v>
      </c>
      <c r="J48" s="14" t="s">
        <v>11</v>
      </c>
    </row>
    <row r="49" spans="2:11" x14ac:dyDescent="0.25">
      <c r="B49" s="5">
        <v>42569</v>
      </c>
      <c r="C49" s="16" t="s">
        <v>359</v>
      </c>
      <c r="D49" s="9">
        <v>3000</v>
      </c>
      <c r="E49" s="9">
        <v>1</v>
      </c>
      <c r="F49" s="9">
        <f t="shared" si="32"/>
        <v>3000</v>
      </c>
      <c r="G49" s="11">
        <v>3.5000000000000003E-2</v>
      </c>
      <c r="H49" s="13">
        <f t="shared" ref="H49" si="70">ROUND(F49*G49,2)</f>
        <v>105</v>
      </c>
      <c r="I49" s="29">
        <f t="shared" ref="I49" si="71">F49-H49</f>
        <v>2895</v>
      </c>
      <c r="J49" s="14" t="s">
        <v>11</v>
      </c>
    </row>
    <row r="50" spans="2:11" x14ac:dyDescent="0.25">
      <c r="B50" s="5">
        <v>42569</v>
      </c>
      <c r="C50" s="16" t="s">
        <v>359</v>
      </c>
      <c r="D50" s="9">
        <v>4200</v>
      </c>
      <c r="E50" s="9">
        <v>2</v>
      </c>
      <c r="F50" s="9">
        <f t="shared" si="32"/>
        <v>8400</v>
      </c>
      <c r="G50" s="11">
        <v>3.5000000000000003E-2</v>
      </c>
      <c r="H50" s="13">
        <f t="shared" ref="H50" si="72">ROUND(F50*G50,2)</f>
        <v>294</v>
      </c>
      <c r="I50" s="29">
        <f t="shared" ref="I50" si="73">F50-H50</f>
        <v>8106</v>
      </c>
      <c r="J50" s="14" t="s">
        <v>11</v>
      </c>
    </row>
    <row r="51" spans="2:11" x14ac:dyDescent="0.25">
      <c r="B51" s="5">
        <v>42569</v>
      </c>
      <c r="C51" s="16" t="s">
        <v>359</v>
      </c>
      <c r="D51" s="9">
        <v>4800</v>
      </c>
      <c r="E51" s="9">
        <v>2</v>
      </c>
      <c r="F51" s="9">
        <f t="shared" si="32"/>
        <v>9600</v>
      </c>
      <c r="G51" s="11">
        <v>3.5000000000000003E-2</v>
      </c>
      <c r="H51" s="13">
        <f t="shared" ref="H51:H52" si="74">ROUND(F51*G51,2)</f>
        <v>336</v>
      </c>
      <c r="I51" s="29">
        <f t="shared" ref="I51:I52" si="75">F51-H51</f>
        <v>9264</v>
      </c>
      <c r="J51" s="14" t="s">
        <v>11</v>
      </c>
    </row>
    <row r="52" spans="2:11" x14ac:dyDescent="0.25">
      <c r="B52" s="5">
        <v>42557</v>
      </c>
      <c r="C52" s="16" t="s">
        <v>359</v>
      </c>
      <c r="D52" s="9">
        <v>6000</v>
      </c>
      <c r="E52" s="9">
        <v>2</v>
      </c>
      <c r="F52" s="9">
        <f t="shared" si="32"/>
        <v>12000</v>
      </c>
      <c r="G52" s="11">
        <v>0</v>
      </c>
      <c r="H52" s="13">
        <f t="shared" si="74"/>
        <v>0</v>
      </c>
      <c r="I52" s="29">
        <f t="shared" si="75"/>
        <v>12000</v>
      </c>
    </row>
    <row r="53" spans="2:11" x14ac:dyDescent="0.25">
      <c r="B53" s="5"/>
      <c r="D53" s="9"/>
      <c r="E53" s="9"/>
      <c r="F53" s="9"/>
      <c r="G53" s="11"/>
      <c r="H53" s="13"/>
      <c r="I53" s="29"/>
    </row>
    <row r="54" spans="2:11" x14ac:dyDescent="0.25">
      <c r="C54"/>
      <c r="F54" s="15">
        <f>SUM(F5:F53)</f>
        <v>1128018</v>
      </c>
      <c r="H54" s="15">
        <f>SUM(H5:H53)</f>
        <v>39165.65</v>
      </c>
      <c r="I54" s="30">
        <f>SUM(I5:I53)</f>
        <v>1088852.3500000001</v>
      </c>
      <c r="K54" s="13"/>
    </row>
    <row r="55" spans="2:11" x14ac:dyDescent="0.25">
      <c r="C55"/>
    </row>
    <row r="56" spans="2:11" x14ac:dyDescent="0.25">
      <c r="C56"/>
      <c r="I56" s="29"/>
    </row>
    <row r="57" spans="2:11" x14ac:dyDescent="0.25">
      <c r="C57"/>
      <c r="I57" s="29"/>
    </row>
  </sheetData>
  <sortState ref="B5:J23">
    <sortCondition ref="B5:B23"/>
  </sortState>
  <mergeCells count="1">
    <mergeCell ref="G3:H3"/>
  </mergeCells>
  <pageMargins left="0.7" right="0.7" top="0.75" bottom="0.75" header="0.3" footer="0.3"/>
  <ignoredErrors>
    <ignoredError sqref="H10 H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zoomScale="85" zoomScaleNormal="85" workbookViewId="0">
      <pane ySplit="4" topLeftCell="A5" activePane="bottomLeft" state="frozen"/>
      <selection activeCell="A5" sqref="A5"/>
      <selection pane="bottomLeft" activeCell="A5" sqref="A5"/>
    </sheetView>
  </sheetViews>
  <sheetFormatPr defaultRowHeight="15" x14ac:dyDescent="0.25"/>
  <cols>
    <col min="2" max="2" width="11.140625" customWidth="1"/>
    <col min="3" max="3" width="23.85546875" bestFit="1" customWidth="1"/>
    <col min="4" max="4" width="9.5703125" bestFit="1" customWidth="1"/>
    <col min="6" max="6" width="13.28515625" bestFit="1" customWidth="1"/>
    <col min="7" max="9" width="11.5703125" bestFit="1" customWidth="1"/>
    <col min="18" max="18" width="6" bestFit="1" customWidth="1"/>
  </cols>
  <sheetData>
    <row r="1" spans="1:9" ht="26.25" x14ac:dyDescent="0.4">
      <c r="A1" s="1" t="s">
        <v>102</v>
      </c>
    </row>
    <row r="2" spans="1:9" ht="19.5" x14ac:dyDescent="0.3">
      <c r="A2" s="2" t="s">
        <v>0</v>
      </c>
    </row>
    <row r="4" spans="1:9" x14ac:dyDescent="0.25">
      <c r="B4" s="4" t="s">
        <v>1</v>
      </c>
      <c r="C4" s="6" t="s">
        <v>70</v>
      </c>
      <c r="D4" s="4" t="s">
        <v>71</v>
      </c>
      <c r="E4" s="4" t="s">
        <v>72</v>
      </c>
      <c r="F4" s="4" t="s">
        <v>40</v>
      </c>
      <c r="G4" s="24" t="s">
        <v>80</v>
      </c>
      <c r="H4" s="24" t="s">
        <v>7</v>
      </c>
    </row>
    <row r="5" spans="1:9" x14ac:dyDescent="0.25">
      <c r="B5" s="5" t="s">
        <v>252</v>
      </c>
      <c r="C5" s="44" t="s">
        <v>252</v>
      </c>
      <c r="D5" s="9">
        <v>0</v>
      </c>
      <c r="E5" s="7">
        <f>IFERROR(F5/D5,0)</f>
        <v>0</v>
      </c>
      <c r="F5" s="7">
        <v>0</v>
      </c>
      <c r="G5" s="26">
        <v>0</v>
      </c>
      <c r="H5" s="29">
        <f t="shared" ref="H5" si="0">F5-G5</f>
        <v>0</v>
      </c>
      <c r="I5" s="13"/>
    </row>
    <row r="6" spans="1:9" x14ac:dyDescent="0.25">
      <c r="B6" s="25"/>
    </row>
    <row r="7" spans="1:9" x14ac:dyDescent="0.25">
      <c r="F7" s="23">
        <f>SUM(F5:F6)</f>
        <v>0</v>
      </c>
      <c r="G7" s="23">
        <f t="shared" ref="G7:H7" si="1">SUM(G5:G6)</f>
        <v>0</v>
      </c>
      <c r="H7" s="23">
        <f t="shared" si="1"/>
        <v>0</v>
      </c>
      <c r="I7" s="13"/>
    </row>
    <row r="9" spans="1:9" x14ac:dyDescent="0.25">
      <c r="F9" s="13"/>
    </row>
    <row r="20" spans="18:18" x14ac:dyDescent="0.25">
      <c r="R2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6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7.85546875" bestFit="1" customWidth="1"/>
    <col min="2" max="2" width="41.85546875" bestFit="1" customWidth="1"/>
    <col min="3" max="3" width="17.140625" style="3" customWidth="1"/>
    <col min="4" max="4" width="20.28515625" style="3" customWidth="1"/>
    <col min="5" max="5" width="17.28515625" style="3" bestFit="1" customWidth="1"/>
    <col min="6" max="6" width="11.140625" bestFit="1" customWidth="1"/>
    <col min="7" max="7" width="14.85546875" style="3" customWidth="1"/>
    <col min="8" max="8" width="18.42578125" style="3" bestFit="1" customWidth="1"/>
    <col min="9" max="9" width="15.28515625" style="3" bestFit="1" customWidth="1"/>
    <col min="10" max="10" width="16.7109375" style="3" bestFit="1" customWidth="1"/>
    <col min="11" max="11" width="16.140625" style="3" bestFit="1" customWidth="1"/>
    <col min="12" max="12" width="23.140625" bestFit="1" customWidth="1"/>
    <col min="13" max="13" width="12.140625" style="3" customWidth="1"/>
    <col min="14" max="14" width="44.28515625" customWidth="1"/>
    <col min="15" max="15" width="36.140625" bestFit="1" customWidth="1"/>
    <col min="17" max="17" width="14.85546875" bestFit="1" customWidth="1"/>
    <col min="18" max="18" width="14.7109375" bestFit="1" customWidth="1"/>
    <col min="19" max="19" width="15.7109375" bestFit="1" customWidth="1"/>
    <col min="20" max="20" width="26.28515625" bestFit="1" customWidth="1"/>
    <col min="21" max="21" width="17.85546875" customWidth="1"/>
    <col min="22" max="22" width="24.7109375" customWidth="1"/>
    <col min="23" max="23" width="24.7109375" style="17" customWidth="1"/>
    <col min="24" max="24" width="24.7109375" style="3" customWidth="1"/>
    <col min="25" max="25" width="26.42578125" style="5" bestFit="1" customWidth="1"/>
    <col min="26" max="26" width="24.7109375" customWidth="1"/>
  </cols>
  <sheetData>
    <row r="1" spans="1:26" ht="45" x14ac:dyDescent="0.25">
      <c r="A1" s="46" t="s">
        <v>19</v>
      </c>
      <c r="B1" s="46" t="s">
        <v>20</v>
      </c>
      <c r="C1" s="45" t="s">
        <v>21</v>
      </c>
      <c r="D1" s="45" t="s">
        <v>22</v>
      </c>
      <c r="E1" s="45" t="s">
        <v>23</v>
      </c>
      <c r="F1" s="45" t="s">
        <v>24</v>
      </c>
      <c r="G1" s="45" t="s">
        <v>253</v>
      </c>
      <c r="H1" s="45" t="s">
        <v>242</v>
      </c>
      <c r="I1" s="45" t="s">
        <v>25</v>
      </c>
      <c r="J1" s="45" t="s">
        <v>26</v>
      </c>
      <c r="K1" s="46" t="s">
        <v>254</v>
      </c>
      <c r="L1" s="45" t="s">
        <v>255</v>
      </c>
      <c r="M1" s="45" t="s">
        <v>27</v>
      </c>
      <c r="N1" s="45" t="s">
        <v>28</v>
      </c>
      <c r="O1" s="45" t="s">
        <v>29</v>
      </c>
      <c r="P1" s="45" t="s">
        <v>30</v>
      </c>
      <c r="Q1" s="45" t="s">
        <v>31</v>
      </c>
      <c r="R1" s="45" t="s">
        <v>32</v>
      </c>
      <c r="S1" s="45" t="s">
        <v>33</v>
      </c>
      <c r="T1" s="45" t="s">
        <v>34</v>
      </c>
      <c r="U1" s="45" t="s">
        <v>250</v>
      </c>
      <c r="V1" s="45" t="s">
        <v>251</v>
      </c>
      <c r="W1" s="45" t="s">
        <v>35</v>
      </c>
      <c r="X1" s="45" t="s">
        <v>36</v>
      </c>
      <c r="Y1" s="45" t="s">
        <v>37</v>
      </c>
      <c r="Z1" s="45" t="s">
        <v>256</v>
      </c>
    </row>
    <row r="2" spans="1:26" x14ac:dyDescent="0.25">
      <c r="A2" t="s">
        <v>41</v>
      </c>
      <c r="B2" t="s">
        <v>241</v>
      </c>
      <c r="C2" s="3" t="s">
        <v>8</v>
      </c>
      <c r="D2" s="3" t="str">
        <f>"071401455341049935"</f>
        <v>071401455341049935</v>
      </c>
      <c r="E2" s="3" t="s">
        <v>38</v>
      </c>
      <c r="F2" s="9">
        <v>3000</v>
      </c>
      <c r="G2" s="3" t="s">
        <v>39</v>
      </c>
      <c r="H2" s="3" t="s">
        <v>39</v>
      </c>
      <c r="I2" s="3" t="s">
        <v>40</v>
      </c>
      <c r="J2" s="3" t="str">
        <f>"13/02/2016 10:55"</f>
        <v>13/02/2016 10:55</v>
      </c>
      <c r="K2" s="3" t="str">
        <f>"7204885826"</f>
        <v>7204885826</v>
      </c>
      <c r="L2" s="3" t="s">
        <v>247</v>
      </c>
      <c r="M2" s="3" t="s">
        <v>249</v>
      </c>
      <c r="N2" t="s">
        <v>41</v>
      </c>
      <c r="O2" t="s">
        <v>241</v>
      </c>
      <c r="P2" s="9">
        <v>1</v>
      </c>
      <c r="Q2" s="7">
        <v>3000</v>
      </c>
      <c r="R2" s="7">
        <v>2895</v>
      </c>
      <c r="S2" s="7">
        <v>105</v>
      </c>
      <c r="T2" s="11">
        <v>3.5000000000000003E-2</v>
      </c>
      <c r="U2" s="11">
        <v>0</v>
      </c>
      <c r="V2" s="11">
        <v>0</v>
      </c>
      <c r="W2" s="11">
        <v>0</v>
      </c>
      <c r="X2" s="3" t="s">
        <v>39</v>
      </c>
      <c r="Y2" s="5" t="s">
        <v>229</v>
      </c>
      <c r="Z2" s="3" t="s">
        <v>39</v>
      </c>
    </row>
    <row r="3" spans="1:26" x14ac:dyDescent="0.25">
      <c r="A3" t="s">
        <v>240</v>
      </c>
      <c r="B3" t="s">
        <v>77</v>
      </c>
      <c r="C3" s="3" t="s">
        <v>8</v>
      </c>
      <c r="D3" s="3" t="str">
        <f>"072711455345963210"</f>
        <v>072711455345963210</v>
      </c>
      <c r="E3" s="3" t="s">
        <v>38</v>
      </c>
      <c r="F3" s="9">
        <v>3000</v>
      </c>
      <c r="G3" s="3" t="s">
        <v>39</v>
      </c>
      <c r="H3" s="3" t="s">
        <v>39</v>
      </c>
      <c r="I3" s="3" t="s">
        <v>40</v>
      </c>
      <c r="J3" s="3" t="str">
        <f>"13/02/2016 12:16"</f>
        <v>13/02/2016 12:16</v>
      </c>
      <c r="K3" s="3" t="str">
        <f>"9035910631"</f>
        <v>9035910631</v>
      </c>
      <c r="L3" s="3" t="s">
        <v>39</v>
      </c>
      <c r="M3" s="3" t="s">
        <v>249</v>
      </c>
      <c r="N3" t="s">
        <v>240</v>
      </c>
      <c r="O3" t="s">
        <v>77</v>
      </c>
      <c r="P3" s="9">
        <v>1</v>
      </c>
      <c r="Q3" s="7">
        <v>3000</v>
      </c>
      <c r="R3" s="7">
        <v>2895</v>
      </c>
      <c r="S3" s="7">
        <v>105</v>
      </c>
      <c r="T3" s="11">
        <v>3.5000000000000003E-2</v>
      </c>
      <c r="U3" s="11">
        <v>0</v>
      </c>
      <c r="V3" s="11">
        <v>0</v>
      </c>
      <c r="W3" s="11">
        <v>0</v>
      </c>
      <c r="X3" s="3" t="s">
        <v>39</v>
      </c>
      <c r="Y3" s="5" t="s">
        <v>229</v>
      </c>
      <c r="Z3" s="3" t="s">
        <v>39</v>
      </c>
    </row>
    <row r="4" spans="1:26" x14ac:dyDescent="0.25">
      <c r="A4" t="s">
        <v>238</v>
      </c>
      <c r="B4" t="s">
        <v>239</v>
      </c>
      <c r="C4" s="3" t="s">
        <v>8</v>
      </c>
      <c r="D4" s="3" t="str">
        <f>"317551455513207122"</f>
        <v>317551455513207122</v>
      </c>
      <c r="E4" s="3" t="s">
        <v>38</v>
      </c>
      <c r="F4" s="9">
        <v>3000</v>
      </c>
      <c r="G4" s="3" t="s">
        <v>39</v>
      </c>
      <c r="H4" s="3" t="s">
        <v>39</v>
      </c>
      <c r="I4" s="3" t="s">
        <v>40</v>
      </c>
      <c r="J4" s="3" t="str">
        <f>"15/02/2016 10:45"</f>
        <v>15/02/2016 10:45</v>
      </c>
      <c r="K4" s="3" t="str">
        <f>"7204467210"</f>
        <v>7204467210</v>
      </c>
      <c r="L4" s="3" t="s">
        <v>244</v>
      </c>
      <c r="M4" s="3" t="s">
        <v>249</v>
      </c>
      <c r="N4" t="s">
        <v>238</v>
      </c>
      <c r="O4" t="s">
        <v>239</v>
      </c>
      <c r="P4" s="9">
        <v>1</v>
      </c>
      <c r="Q4" s="7">
        <v>3000</v>
      </c>
      <c r="R4" s="7">
        <v>2895</v>
      </c>
      <c r="S4" s="7">
        <v>105</v>
      </c>
      <c r="T4" s="11">
        <v>3.5000000000000003E-2</v>
      </c>
      <c r="U4" s="11">
        <v>0</v>
      </c>
      <c r="V4" s="11">
        <v>0</v>
      </c>
      <c r="W4" s="11">
        <v>0</v>
      </c>
      <c r="X4" s="3" t="s">
        <v>39</v>
      </c>
      <c r="Y4" s="5" t="s">
        <v>229</v>
      </c>
      <c r="Z4" s="3" t="s">
        <v>39</v>
      </c>
    </row>
    <row r="5" spans="1:26" x14ac:dyDescent="0.25">
      <c r="A5" t="s">
        <v>236</v>
      </c>
      <c r="B5" t="s">
        <v>237</v>
      </c>
      <c r="C5" s="3" t="s">
        <v>8</v>
      </c>
      <c r="D5" s="3" t="str">
        <f>"340541455514181212"</f>
        <v>340541455514181212</v>
      </c>
      <c r="E5" s="3" t="s">
        <v>38</v>
      </c>
      <c r="F5" s="9">
        <v>3000</v>
      </c>
      <c r="G5" s="3" t="s">
        <v>39</v>
      </c>
      <c r="H5" s="3" t="s">
        <v>39</v>
      </c>
      <c r="I5" s="3" t="s">
        <v>40</v>
      </c>
      <c r="J5" s="3" t="str">
        <f>"15/02/2016 11:01"</f>
        <v>15/02/2016 11:01</v>
      </c>
      <c r="K5" s="3" t="str">
        <f>"9844739324"</f>
        <v>9844739324</v>
      </c>
      <c r="L5" s="3" t="s">
        <v>244</v>
      </c>
      <c r="M5" s="3" t="s">
        <v>249</v>
      </c>
      <c r="N5" t="s">
        <v>236</v>
      </c>
      <c r="O5" t="s">
        <v>237</v>
      </c>
      <c r="P5" s="9">
        <v>1</v>
      </c>
      <c r="Q5" s="7">
        <v>3000</v>
      </c>
      <c r="R5" s="7">
        <v>2895</v>
      </c>
      <c r="S5" s="7">
        <v>105</v>
      </c>
      <c r="T5" s="11">
        <v>3.5000000000000003E-2</v>
      </c>
      <c r="U5" s="11">
        <v>0</v>
      </c>
      <c r="V5" s="11">
        <v>0</v>
      </c>
      <c r="W5" s="11">
        <v>0</v>
      </c>
      <c r="X5" s="3" t="s">
        <v>39</v>
      </c>
      <c r="Y5" s="5" t="s">
        <v>229</v>
      </c>
      <c r="Z5" s="3" t="s">
        <v>39</v>
      </c>
    </row>
    <row r="6" spans="1:26" x14ac:dyDescent="0.25">
      <c r="A6" t="s">
        <v>53</v>
      </c>
      <c r="B6" t="s">
        <v>54</v>
      </c>
      <c r="C6" s="3" t="s">
        <v>8</v>
      </c>
      <c r="D6" s="3" t="str">
        <f>"601631455526210098"</f>
        <v>601631455526210098</v>
      </c>
      <c r="E6" s="3" t="s">
        <v>38</v>
      </c>
      <c r="F6" s="9">
        <v>3000</v>
      </c>
      <c r="G6" s="3" t="s">
        <v>39</v>
      </c>
      <c r="H6" s="3" t="s">
        <v>39</v>
      </c>
      <c r="I6" s="3" t="s">
        <v>40</v>
      </c>
      <c r="J6" s="3" t="str">
        <f>"15/02/2016 14:21"</f>
        <v>15/02/2016 14:21</v>
      </c>
      <c r="K6" s="3" t="str">
        <f>"8123388552"</f>
        <v>8123388552</v>
      </c>
      <c r="L6" s="3" t="s">
        <v>243</v>
      </c>
      <c r="M6" s="3" t="s">
        <v>248</v>
      </c>
      <c r="N6" t="s">
        <v>53</v>
      </c>
      <c r="O6" t="s">
        <v>54</v>
      </c>
      <c r="P6" s="9">
        <v>1</v>
      </c>
      <c r="Q6" s="7">
        <v>3000</v>
      </c>
      <c r="R6" s="7">
        <v>2895</v>
      </c>
      <c r="S6" s="7">
        <v>105</v>
      </c>
      <c r="T6" s="11">
        <v>3.5000000000000003E-2</v>
      </c>
      <c r="U6" s="11">
        <v>0</v>
      </c>
      <c r="V6" s="11">
        <v>0</v>
      </c>
      <c r="W6" s="11">
        <v>0</v>
      </c>
      <c r="X6" s="3" t="s">
        <v>39</v>
      </c>
      <c r="Y6" s="5" t="s">
        <v>229</v>
      </c>
      <c r="Z6" s="3" t="s">
        <v>39</v>
      </c>
    </row>
    <row r="7" spans="1:26" x14ac:dyDescent="0.25">
      <c r="A7" t="s">
        <v>234</v>
      </c>
      <c r="B7" t="s">
        <v>235</v>
      </c>
      <c r="C7" s="3" t="s">
        <v>8</v>
      </c>
      <c r="D7" s="3" t="str">
        <f>"401121455530325334"</f>
        <v>401121455530325334</v>
      </c>
      <c r="E7" s="3" t="s">
        <v>38</v>
      </c>
      <c r="F7" s="9">
        <v>3000</v>
      </c>
      <c r="G7" s="3" t="s">
        <v>39</v>
      </c>
      <c r="H7" s="3" t="s">
        <v>39</v>
      </c>
      <c r="I7" s="3" t="s">
        <v>40</v>
      </c>
      <c r="J7" s="3" t="str">
        <f>"15/02/2016 15:29"</f>
        <v>15/02/2016 15:29</v>
      </c>
      <c r="K7" s="3" t="str">
        <f>"8105944915"</f>
        <v>8105944915</v>
      </c>
      <c r="L7" s="3" t="s">
        <v>244</v>
      </c>
      <c r="M7" s="3" t="s">
        <v>249</v>
      </c>
      <c r="N7" t="s">
        <v>234</v>
      </c>
      <c r="O7" t="s">
        <v>235</v>
      </c>
      <c r="P7" s="9">
        <v>1</v>
      </c>
      <c r="Q7" s="7">
        <v>3000</v>
      </c>
      <c r="R7" s="7">
        <v>2895</v>
      </c>
      <c r="S7" s="7">
        <v>105</v>
      </c>
      <c r="T7" s="11">
        <v>3.5000000000000003E-2</v>
      </c>
      <c r="U7" s="11">
        <v>0</v>
      </c>
      <c r="V7" s="11">
        <v>0</v>
      </c>
      <c r="W7" s="11">
        <v>0</v>
      </c>
      <c r="X7" s="3" t="s">
        <v>39</v>
      </c>
      <c r="Y7" s="5" t="s">
        <v>229</v>
      </c>
      <c r="Z7" s="3" t="s">
        <v>39</v>
      </c>
    </row>
    <row r="8" spans="1:26" x14ac:dyDescent="0.25">
      <c r="A8" t="s">
        <v>45</v>
      </c>
      <c r="B8" t="s">
        <v>46</v>
      </c>
      <c r="C8" s="3" t="s">
        <v>8</v>
      </c>
      <c r="D8" s="3" t="str">
        <f>"335721455530549443"</f>
        <v>335721455530549443</v>
      </c>
      <c r="E8" s="3" t="s">
        <v>38</v>
      </c>
      <c r="F8" s="9">
        <v>3000</v>
      </c>
      <c r="G8" s="3" t="s">
        <v>39</v>
      </c>
      <c r="H8" s="3" t="s">
        <v>39</v>
      </c>
      <c r="I8" s="3" t="s">
        <v>40</v>
      </c>
      <c r="J8" s="3" t="str">
        <f>"15/02/2016 15:33"</f>
        <v>15/02/2016 15:33</v>
      </c>
      <c r="K8" s="3" t="str">
        <f>"9108285767"</f>
        <v>9108285767</v>
      </c>
      <c r="L8" s="3" t="s">
        <v>39</v>
      </c>
      <c r="M8" s="3" t="s">
        <v>248</v>
      </c>
      <c r="N8" t="s">
        <v>45</v>
      </c>
      <c r="O8" t="s">
        <v>46</v>
      </c>
      <c r="P8" s="9">
        <v>1</v>
      </c>
      <c r="Q8" s="7">
        <v>3000</v>
      </c>
      <c r="R8" s="7">
        <v>2895</v>
      </c>
      <c r="S8" s="7">
        <v>105</v>
      </c>
      <c r="T8" s="11">
        <v>3.5000000000000003E-2</v>
      </c>
      <c r="U8" s="11">
        <v>0</v>
      </c>
      <c r="V8" s="11">
        <v>0</v>
      </c>
      <c r="W8" s="11">
        <v>0</v>
      </c>
      <c r="X8" s="3" t="s">
        <v>39</v>
      </c>
      <c r="Y8" s="5" t="s">
        <v>229</v>
      </c>
      <c r="Z8" s="3" t="s">
        <v>39</v>
      </c>
    </row>
    <row r="9" spans="1:26" x14ac:dyDescent="0.25">
      <c r="A9" t="s">
        <v>52</v>
      </c>
      <c r="B9" t="s">
        <v>51</v>
      </c>
      <c r="C9" s="3" t="s">
        <v>8</v>
      </c>
      <c r="D9" s="3" t="str">
        <f>"362011455530661543"</f>
        <v>362011455530661543</v>
      </c>
      <c r="E9" s="3" t="s">
        <v>38</v>
      </c>
      <c r="F9" s="9">
        <v>3000</v>
      </c>
      <c r="G9" s="3" t="s">
        <v>39</v>
      </c>
      <c r="H9" s="3" t="s">
        <v>39</v>
      </c>
      <c r="I9" s="3" t="s">
        <v>40</v>
      </c>
      <c r="J9" s="3" t="str">
        <f>"15/02/2016 15:35"</f>
        <v>15/02/2016 15:35</v>
      </c>
      <c r="K9" s="3" t="str">
        <f>"7760888826"</f>
        <v>7760888826</v>
      </c>
      <c r="L9" s="3" t="s">
        <v>39</v>
      </c>
      <c r="M9" s="3" t="s">
        <v>248</v>
      </c>
      <c r="N9" t="s">
        <v>52</v>
      </c>
      <c r="O9" t="s">
        <v>51</v>
      </c>
      <c r="P9" s="9">
        <v>1</v>
      </c>
      <c r="Q9" s="7">
        <v>3000</v>
      </c>
      <c r="R9" s="7">
        <v>2895</v>
      </c>
      <c r="S9" s="7">
        <v>105</v>
      </c>
      <c r="T9" s="11">
        <v>3.5000000000000003E-2</v>
      </c>
      <c r="U9" s="11">
        <v>0</v>
      </c>
      <c r="V9" s="11">
        <v>0</v>
      </c>
      <c r="W9" s="11">
        <v>0</v>
      </c>
      <c r="X9" s="3" t="s">
        <v>39</v>
      </c>
      <c r="Y9" s="5" t="s">
        <v>229</v>
      </c>
      <c r="Z9" s="3" t="s">
        <v>39</v>
      </c>
    </row>
    <row r="10" spans="1:26" x14ac:dyDescent="0.25">
      <c r="A10" t="s">
        <v>233</v>
      </c>
      <c r="B10" t="s">
        <v>59</v>
      </c>
      <c r="C10" s="3" t="s">
        <v>8</v>
      </c>
      <c r="D10" s="3" t="str">
        <f>"576201455533561355"</f>
        <v>576201455533561355</v>
      </c>
      <c r="E10" s="3" t="s">
        <v>38</v>
      </c>
      <c r="F10" s="9">
        <v>3000</v>
      </c>
      <c r="G10" s="3" t="s">
        <v>39</v>
      </c>
      <c r="H10" s="3" t="s">
        <v>39</v>
      </c>
      <c r="I10" s="3" t="s">
        <v>40</v>
      </c>
      <c r="J10" s="3" t="str">
        <f>"15/02/2016 16:24"</f>
        <v>15/02/2016 16:24</v>
      </c>
      <c r="K10" s="3" t="str">
        <f>"7022939822"</f>
        <v>7022939822</v>
      </c>
      <c r="L10" s="3" t="s">
        <v>243</v>
      </c>
      <c r="M10" s="3" t="s">
        <v>248</v>
      </c>
      <c r="N10" t="s">
        <v>233</v>
      </c>
      <c r="O10" t="s">
        <v>59</v>
      </c>
      <c r="P10" s="9">
        <v>1</v>
      </c>
      <c r="Q10" s="7">
        <v>3000</v>
      </c>
      <c r="R10" s="7">
        <v>2895</v>
      </c>
      <c r="S10" s="7">
        <v>105</v>
      </c>
      <c r="T10" s="11">
        <v>3.5000000000000003E-2</v>
      </c>
      <c r="U10" s="11">
        <v>0</v>
      </c>
      <c r="V10" s="11">
        <v>0</v>
      </c>
      <c r="W10" s="11">
        <v>0</v>
      </c>
      <c r="X10" s="3" t="s">
        <v>39</v>
      </c>
      <c r="Y10" s="5" t="s">
        <v>229</v>
      </c>
      <c r="Z10" s="3" t="s">
        <v>39</v>
      </c>
    </row>
    <row r="11" spans="1:26" x14ac:dyDescent="0.25">
      <c r="A11" t="s">
        <v>232</v>
      </c>
      <c r="B11" t="s">
        <v>62</v>
      </c>
      <c r="C11" s="3" t="s">
        <v>8</v>
      </c>
      <c r="D11" s="3" t="str">
        <f>"235221455538165638"</f>
        <v>235221455538165638</v>
      </c>
      <c r="E11" s="3" t="s">
        <v>38</v>
      </c>
      <c r="F11" s="9">
        <v>3000</v>
      </c>
      <c r="G11" s="3" t="s">
        <v>39</v>
      </c>
      <c r="H11" s="3" t="s">
        <v>39</v>
      </c>
      <c r="I11" s="3" t="s">
        <v>40</v>
      </c>
      <c r="J11" s="3" t="str">
        <f>"15/02/2016 17:40"</f>
        <v>15/02/2016 17:40</v>
      </c>
      <c r="K11" s="3" t="str">
        <f>"9446064880"</f>
        <v>9446064880</v>
      </c>
      <c r="L11" s="3" t="s">
        <v>39</v>
      </c>
      <c r="M11" s="3" t="s">
        <v>249</v>
      </c>
      <c r="N11" t="s">
        <v>232</v>
      </c>
      <c r="O11" t="s">
        <v>62</v>
      </c>
      <c r="P11" s="9">
        <v>1</v>
      </c>
      <c r="Q11" s="7">
        <v>3000</v>
      </c>
      <c r="R11" s="7">
        <v>2895</v>
      </c>
      <c r="S11" s="7">
        <v>105</v>
      </c>
      <c r="T11" s="11">
        <v>3.5000000000000003E-2</v>
      </c>
      <c r="U11" s="11">
        <v>0</v>
      </c>
      <c r="V11" s="11">
        <v>0</v>
      </c>
      <c r="W11" s="11">
        <v>0</v>
      </c>
      <c r="X11" s="3" t="s">
        <v>39</v>
      </c>
      <c r="Y11" s="5" t="s">
        <v>229</v>
      </c>
      <c r="Z11" s="3" t="s">
        <v>39</v>
      </c>
    </row>
    <row r="12" spans="1:26" x14ac:dyDescent="0.25">
      <c r="A12" t="s">
        <v>227</v>
      </c>
      <c r="B12" t="s">
        <v>228</v>
      </c>
      <c r="C12" s="3" t="s">
        <v>8</v>
      </c>
      <c r="D12" s="3" t="str">
        <f>"426451455540105110"</f>
        <v>426451455540105110</v>
      </c>
      <c r="E12" s="3" t="s">
        <v>38</v>
      </c>
      <c r="F12" s="9">
        <v>3000</v>
      </c>
      <c r="G12" s="3" t="s">
        <v>39</v>
      </c>
      <c r="H12" s="3" t="s">
        <v>39</v>
      </c>
      <c r="I12" s="3" t="s">
        <v>40</v>
      </c>
      <c r="J12" s="5" t="str">
        <f>"15/02/2016 18:12"</f>
        <v>15/02/2016 18:12</v>
      </c>
      <c r="K12" s="3" t="str">
        <f>"8089145432"</f>
        <v>8089145432</v>
      </c>
      <c r="L12" s="3" t="s">
        <v>244</v>
      </c>
      <c r="M12" s="3" t="s">
        <v>249</v>
      </c>
      <c r="N12" t="s">
        <v>227</v>
      </c>
      <c r="O12" t="s">
        <v>228</v>
      </c>
      <c r="P12" s="9">
        <v>1</v>
      </c>
      <c r="Q12" s="7">
        <v>3000</v>
      </c>
      <c r="R12" s="7">
        <v>2895</v>
      </c>
      <c r="S12" s="7">
        <v>105</v>
      </c>
      <c r="T12" s="11">
        <v>3.5000000000000003E-2</v>
      </c>
      <c r="U12" s="11">
        <v>0</v>
      </c>
      <c r="V12" s="11">
        <v>0</v>
      </c>
      <c r="W12" s="11">
        <v>0</v>
      </c>
      <c r="X12" s="3" t="s">
        <v>39</v>
      </c>
      <c r="Y12" s="5" t="s">
        <v>229</v>
      </c>
      <c r="Z12" s="3" t="s">
        <v>39</v>
      </c>
    </row>
    <row r="13" spans="1:26" x14ac:dyDescent="0.25">
      <c r="A13" t="s">
        <v>230</v>
      </c>
      <c r="B13" t="s">
        <v>231</v>
      </c>
      <c r="C13" s="3" t="s">
        <v>8</v>
      </c>
      <c r="D13" s="3" t="str">
        <f>"426451455540105110"</f>
        <v>426451455540105110</v>
      </c>
      <c r="E13" s="3" t="s">
        <v>38</v>
      </c>
      <c r="F13" s="9">
        <v>3000</v>
      </c>
      <c r="G13" s="3" t="s">
        <v>39</v>
      </c>
      <c r="H13" s="3" t="s">
        <v>39</v>
      </c>
      <c r="I13" s="3" t="s">
        <v>40</v>
      </c>
      <c r="J13" s="3" t="str">
        <f>"15/02/2016 18:12"</f>
        <v>15/02/2016 18:12</v>
      </c>
      <c r="K13" s="3" t="str">
        <f>"8281493169"</f>
        <v>8281493169</v>
      </c>
      <c r="L13" s="3" t="s">
        <v>247</v>
      </c>
      <c r="M13" s="3" t="s">
        <v>249</v>
      </c>
      <c r="N13" t="s">
        <v>227</v>
      </c>
      <c r="O13" t="s">
        <v>228</v>
      </c>
      <c r="P13" s="9">
        <v>1</v>
      </c>
      <c r="Q13" s="7">
        <v>3000</v>
      </c>
      <c r="R13" s="7">
        <v>2895</v>
      </c>
      <c r="S13" s="7">
        <v>105</v>
      </c>
      <c r="T13" s="11">
        <v>3.5000000000000003E-2</v>
      </c>
      <c r="U13" s="11">
        <v>0</v>
      </c>
      <c r="V13" s="11">
        <v>0</v>
      </c>
      <c r="W13" s="11">
        <v>0</v>
      </c>
      <c r="X13" s="3" t="s">
        <v>39</v>
      </c>
      <c r="Y13" s="5" t="s">
        <v>229</v>
      </c>
      <c r="Z13" s="3" t="s">
        <v>39</v>
      </c>
    </row>
    <row r="14" spans="1:26" x14ac:dyDescent="0.25">
      <c r="A14" t="s">
        <v>57</v>
      </c>
      <c r="B14" t="s">
        <v>58</v>
      </c>
      <c r="C14" s="3" t="s">
        <v>8</v>
      </c>
      <c r="D14" s="3" t="str">
        <f>"042221455644575056"</f>
        <v>042221455644575056</v>
      </c>
      <c r="E14" s="3" t="s">
        <v>38</v>
      </c>
      <c r="F14" s="9">
        <v>3000</v>
      </c>
      <c r="G14" s="3" t="s">
        <v>39</v>
      </c>
      <c r="H14" s="3" t="s">
        <v>39</v>
      </c>
      <c r="I14" s="3" t="s">
        <v>40</v>
      </c>
      <c r="J14" s="3" t="str">
        <f>"16/02/2016 23:15"</f>
        <v>16/02/2016 23:15</v>
      </c>
      <c r="K14" s="3" t="str">
        <f>"8300192198"</f>
        <v>8300192198</v>
      </c>
      <c r="L14" s="3" t="s">
        <v>246</v>
      </c>
      <c r="M14" s="3" t="s">
        <v>248</v>
      </c>
      <c r="N14" t="s">
        <v>57</v>
      </c>
      <c r="O14" t="s">
        <v>58</v>
      </c>
      <c r="P14" s="9">
        <v>1</v>
      </c>
      <c r="Q14" s="7">
        <v>3000</v>
      </c>
      <c r="R14" s="7">
        <v>2895</v>
      </c>
      <c r="S14" s="7">
        <v>105</v>
      </c>
      <c r="T14" s="11">
        <v>3.5000000000000003E-2</v>
      </c>
      <c r="U14" s="11">
        <v>0</v>
      </c>
      <c r="V14" s="11">
        <v>0</v>
      </c>
      <c r="W14" s="11">
        <v>0</v>
      </c>
      <c r="X14" s="3" t="s">
        <v>39</v>
      </c>
      <c r="Y14" s="5" t="s">
        <v>226</v>
      </c>
      <c r="Z14" s="3" t="s">
        <v>39</v>
      </c>
    </row>
    <row r="15" spans="1:26" x14ac:dyDescent="0.25">
      <c r="A15" t="s">
        <v>61</v>
      </c>
      <c r="B15" t="s">
        <v>225</v>
      </c>
      <c r="C15" s="3" t="s">
        <v>8</v>
      </c>
      <c r="D15" s="3" t="str">
        <f>"125351455695898952"</f>
        <v>125351455695898952</v>
      </c>
      <c r="E15" s="3" t="s">
        <v>38</v>
      </c>
      <c r="F15" s="9">
        <v>3000</v>
      </c>
      <c r="G15" s="3" t="s">
        <v>39</v>
      </c>
      <c r="H15" s="3" t="s">
        <v>39</v>
      </c>
      <c r="I15" s="3" t="s">
        <v>40</v>
      </c>
      <c r="J15" s="3" t="str">
        <f>"17/02/2016 13:31"</f>
        <v>17/02/2016 13:31</v>
      </c>
      <c r="K15" s="3" t="str">
        <f>"9845372980"</f>
        <v>9845372980</v>
      </c>
      <c r="L15" s="3" t="s">
        <v>243</v>
      </c>
      <c r="M15" s="3" t="s">
        <v>249</v>
      </c>
      <c r="N15" t="s">
        <v>61</v>
      </c>
      <c r="O15" t="s">
        <v>225</v>
      </c>
      <c r="P15" s="9">
        <v>1</v>
      </c>
      <c r="Q15" s="7">
        <v>3000</v>
      </c>
      <c r="R15" s="7">
        <v>2895</v>
      </c>
      <c r="S15" s="7">
        <v>105</v>
      </c>
      <c r="T15" s="11">
        <v>3.5000000000000003E-2</v>
      </c>
      <c r="U15" s="11">
        <v>0</v>
      </c>
      <c r="V15" s="11">
        <v>0</v>
      </c>
      <c r="W15" s="11">
        <v>0</v>
      </c>
      <c r="X15" s="3" t="s">
        <v>39</v>
      </c>
      <c r="Y15" s="5" t="s">
        <v>226</v>
      </c>
      <c r="Z15" s="3" t="s">
        <v>39</v>
      </c>
    </row>
    <row r="16" spans="1:26" x14ac:dyDescent="0.25">
      <c r="A16" t="s">
        <v>223</v>
      </c>
      <c r="B16" t="s">
        <v>224</v>
      </c>
      <c r="C16" s="3" t="s">
        <v>8</v>
      </c>
      <c r="D16" s="3" t="str">
        <f>"575151455854131572"</f>
        <v>575151455854131572</v>
      </c>
      <c r="E16" s="3" t="s">
        <v>38</v>
      </c>
      <c r="F16" s="9">
        <v>3000</v>
      </c>
      <c r="G16" s="3" t="s">
        <v>39</v>
      </c>
      <c r="H16" s="3" t="s">
        <v>39</v>
      </c>
      <c r="I16" s="3" t="s">
        <v>40</v>
      </c>
      <c r="J16" s="3" t="str">
        <f>"19/02/2016 09:27"</f>
        <v>19/02/2016 09:27</v>
      </c>
      <c r="K16" s="3" t="str">
        <f>"9845633650"</f>
        <v>9845633650</v>
      </c>
      <c r="L16" s="3" t="s">
        <v>243</v>
      </c>
      <c r="M16" s="3" t="s">
        <v>249</v>
      </c>
      <c r="N16" t="s">
        <v>223</v>
      </c>
      <c r="O16" t="s">
        <v>224</v>
      </c>
      <c r="P16" s="9">
        <v>1</v>
      </c>
      <c r="Q16" s="7">
        <v>3000</v>
      </c>
      <c r="R16" s="7">
        <v>2895</v>
      </c>
      <c r="S16" s="7">
        <v>105</v>
      </c>
      <c r="T16" s="11">
        <v>3.5000000000000003E-2</v>
      </c>
      <c r="U16" s="11">
        <v>0</v>
      </c>
      <c r="V16" s="11">
        <v>0</v>
      </c>
      <c r="W16" s="11">
        <v>0</v>
      </c>
      <c r="X16" s="3" t="s">
        <v>39</v>
      </c>
      <c r="Y16" s="5" t="s">
        <v>220</v>
      </c>
      <c r="Z16" s="3" t="s">
        <v>39</v>
      </c>
    </row>
    <row r="17" spans="1:26" x14ac:dyDescent="0.25">
      <c r="A17" t="s">
        <v>221</v>
      </c>
      <c r="B17" t="s">
        <v>222</v>
      </c>
      <c r="C17" s="3" t="s">
        <v>8</v>
      </c>
      <c r="D17" s="3" t="str">
        <f>"705001455863268804"</f>
        <v>705001455863268804</v>
      </c>
      <c r="E17" s="3" t="s">
        <v>38</v>
      </c>
      <c r="F17" s="9">
        <v>3000</v>
      </c>
      <c r="G17" s="3" t="s">
        <v>39</v>
      </c>
      <c r="H17" s="3" t="s">
        <v>39</v>
      </c>
      <c r="I17" s="3" t="s">
        <v>40</v>
      </c>
      <c r="J17" s="3" t="str">
        <f>"19/02/2016 11:59"</f>
        <v>19/02/2016 11:59</v>
      </c>
      <c r="K17" s="3" t="str">
        <f>"9899075675"</f>
        <v>9899075675</v>
      </c>
      <c r="L17" s="3" t="s">
        <v>243</v>
      </c>
      <c r="M17" s="3" t="s">
        <v>249</v>
      </c>
      <c r="N17" t="s">
        <v>221</v>
      </c>
      <c r="O17" t="s">
        <v>222</v>
      </c>
      <c r="P17" s="9">
        <v>1</v>
      </c>
      <c r="Q17" s="7">
        <v>3000</v>
      </c>
      <c r="R17" s="7">
        <v>2895</v>
      </c>
      <c r="S17" s="7">
        <v>105</v>
      </c>
      <c r="T17" s="11">
        <v>3.5000000000000003E-2</v>
      </c>
      <c r="U17" s="11">
        <v>0</v>
      </c>
      <c r="V17" s="11">
        <v>0</v>
      </c>
      <c r="W17" s="11">
        <v>0</v>
      </c>
      <c r="X17" s="3" t="s">
        <v>39</v>
      </c>
      <c r="Y17" s="5" t="s">
        <v>220</v>
      </c>
      <c r="Z17" s="3" t="s">
        <v>39</v>
      </c>
    </row>
    <row r="18" spans="1:26" x14ac:dyDescent="0.25">
      <c r="A18" t="s">
        <v>219</v>
      </c>
      <c r="B18" t="s">
        <v>78</v>
      </c>
      <c r="C18" s="3" t="s">
        <v>8</v>
      </c>
      <c r="D18" s="3" t="str">
        <f>"764571455865671224"</f>
        <v>764571455865671224</v>
      </c>
      <c r="E18" s="3" t="s">
        <v>38</v>
      </c>
      <c r="F18" s="9">
        <v>3000</v>
      </c>
      <c r="G18" s="3" t="s">
        <v>39</v>
      </c>
      <c r="H18" s="3" t="s">
        <v>39</v>
      </c>
      <c r="I18" s="3" t="s">
        <v>40</v>
      </c>
      <c r="J18" s="3" t="str">
        <f>"19/02/2016 12:39"</f>
        <v>19/02/2016 12:39</v>
      </c>
      <c r="K18" s="3" t="str">
        <f>"8971570724"</f>
        <v>8971570724</v>
      </c>
      <c r="L18" s="3" t="s">
        <v>245</v>
      </c>
      <c r="M18" s="3" t="s">
        <v>248</v>
      </c>
      <c r="N18" t="s">
        <v>219</v>
      </c>
      <c r="O18" t="s">
        <v>78</v>
      </c>
      <c r="P18" s="9">
        <v>1</v>
      </c>
      <c r="Q18" s="7">
        <v>3000</v>
      </c>
      <c r="R18" s="7">
        <v>2895</v>
      </c>
      <c r="S18" s="7">
        <v>105</v>
      </c>
      <c r="T18" s="11">
        <v>3.5000000000000003E-2</v>
      </c>
      <c r="U18" s="11">
        <v>0</v>
      </c>
      <c r="V18" s="11">
        <v>0</v>
      </c>
      <c r="W18" s="11">
        <v>0</v>
      </c>
      <c r="X18" s="3" t="s">
        <v>39</v>
      </c>
      <c r="Y18" s="5" t="s">
        <v>220</v>
      </c>
      <c r="Z18" s="3" t="s">
        <v>39</v>
      </c>
    </row>
    <row r="19" spans="1:26" x14ac:dyDescent="0.25">
      <c r="A19" t="s">
        <v>218</v>
      </c>
      <c r="B19" t="s">
        <v>69</v>
      </c>
      <c r="C19" s="3" t="s">
        <v>8</v>
      </c>
      <c r="D19" s="3" t="str">
        <f>"405571455871542574"</f>
        <v>405571455871542574</v>
      </c>
      <c r="E19" s="3" t="s">
        <v>38</v>
      </c>
      <c r="F19" s="9">
        <v>3000</v>
      </c>
      <c r="G19" s="3" t="s">
        <v>39</v>
      </c>
      <c r="H19" s="3" t="s">
        <v>39</v>
      </c>
      <c r="I19" s="3" t="s">
        <v>40</v>
      </c>
      <c r="J19" s="3" t="str">
        <f>"19/02/2016 14:16"</f>
        <v>19/02/2016 14:16</v>
      </c>
      <c r="K19" s="3" t="str">
        <f>"7829133319"</f>
        <v>7829133319</v>
      </c>
      <c r="L19" s="3" t="str">
        <f>"XXL"</f>
        <v>XXL</v>
      </c>
      <c r="M19" s="3" t="s">
        <v>249</v>
      </c>
      <c r="N19" t="s">
        <v>218</v>
      </c>
      <c r="O19" t="s">
        <v>69</v>
      </c>
      <c r="P19" s="9">
        <v>1</v>
      </c>
      <c r="Q19" s="7">
        <v>3000</v>
      </c>
      <c r="R19" s="7">
        <v>2895</v>
      </c>
      <c r="S19" s="7">
        <v>105</v>
      </c>
      <c r="T19" s="11">
        <v>3.5000000000000003E-2</v>
      </c>
      <c r="U19" s="11">
        <v>0</v>
      </c>
      <c r="V19" s="11">
        <v>0</v>
      </c>
      <c r="W19" s="11">
        <v>0</v>
      </c>
      <c r="X19" s="3" t="s">
        <v>39</v>
      </c>
      <c r="Y19" s="5" t="s">
        <v>165</v>
      </c>
      <c r="Z19" s="3" t="s">
        <v>39</v>
      </c>
    </row>
    <row r="20" spans="1:26" x14ac:dyDescent="0.25">
      <c r="A20" t="s">
        <v>216</v>
      </c>
      <c r="B20" t="s">
        <v>217</v>
      </c>
      <c r="C20" s="3" t="s">
        <v>8</v>
      </c>
      <c r="D20" s="3" t="str">
        <f>"602241455883831270"</f>
        <v>602241455883831270</v>
      </c>
      <c r="E20" s="3" t="s">
        <v>38</v>
      </c>
      <c r="F20" s="9">
        <v>3000</v>
      </c>
      <c r="G20" s="3" t="s">
        <v>39</v>
      </c>
      <c r="H20" s="3" t="s">
        <v>39</v>
      </c>
      <c r="I20" s="3" t="s">
        <v>40</v>
      </c>
      <c r="J20" s="3" t="str">
        <f>"19/02/2016 17:41"</f>
        <v>19/02/2016 17:41</v>
      </c>
      <c r="K20" s="3" t="str">
        <f>"9900540471"</f>
        <v>9900540471</v>
      </c>
      <c r="L20" s="3" t="s">
        <v>244</v>
      </c>
      <c r="M20" s="3" t="s">
        <v>249</v>
      </c>
      <c r="N20" t="s">
        <v>216</v>
      </c>
      <c r="O20" t="s">
        <v>217</v>
      </c>
      <c r="P20" s="9">
        <v>1</v>
      </c>
      <c r="Q20" s="7">
        <v>3000</v>
      </c>
      <c r="R20" s="7">
        <v>2895</v>
      </c>
      <c r="S20" s="7">
        <v>105</v>
      </c>
      <c r="T20" s="11">
        <v>3.5000000000000003E-2</v>
      </c>
      <c r="U20" s="11">
        <v>0</v>
      </c>
      <c r="V20" s="11">
        <v>0</v>
      </c>
      <c r="W20" s="11">
        <v>0</v>
      </c>
      <c r="X20" s="3" t="s">
        <v>39</v>
      </c>
      <c r="Y20" s="5" t="s">
        <v>165</v>
      </c>
      <c r="Z20" s="3" t="s">
        <v>39</v>
      </c>
    </row>
    <row r="21" spans="1:26" x14ac:dyDescent="0.25">
      <c r="A21" t="s">
        <v>43</v>
      </c>
      <c r="B21" t="s">
        <v>44</v>
      </c>
      <c r="C21" s="3" t="s">
        <v>8</v>
      </c>
      <c r="D21" s="3" t="str">
        <f>"777561455884196107"</f>
        <v>777561455884196107</v>
      </c>
      <c r="E21" s="3" t="s">
        <v>38</v>
      </c>
      <c r="F21" s="9">
        <v>3000</v>
      </c>
      <c r="G21" s="3" t="s">
        <v>39</v>
      </c>
      <c r="H21" s="3" t="s">
        <v>39</v>
      </c>
      <c r="I21" s="3" t="s">
        <v>40</v>
      </c>
      <c r="J21" s="3" t="str">
        <f>"19/02/2016 17:51"</f>
        <v>19/02/2016 17:51</v>
      </c>
      <c r="K21" s="3" t="str">
        <f>"+919886723872"</f>
        <v>+919886723872</v>
      </c>
      <c r="L21" s="3" t="s">
        <v>247</v>
      </c>
      <c r="M21" s="3" t="s">
        <v>249</v>
      </c>
      <c r="N21" t="s">
        <v>214</v>
      </c>
      <c r="O21" t="s">
        <v>215</v>
      </c>
      <c r="P21" s="9">
        <v>1</v>
      </c>
      <c r="Q21" s="7">
        <v>3000</v>
      </c>
      <c r="R21" s="7">
        <v>2895</v>
      </c>
      <c r="S21" s="7">
        <v>105</v>
      </c>
      <c r="T21" s="11">
        <v>3.5000000000000003E-2</v>
      </c>
      <c r="U21" s="11">
        <v>0</v>
      </c>
      <c r="V21" s="11">
        <v>0</v>
      </c>
      <c r="W21" s="11">
        <v>0</v>
      </c>
      <c r="X21" s="3" t="s">
        <v>39</v>
      </c>
      <c r="Y21" s="5" t="s">
        <v>165</v>
      </c>
      <c r="Z21" s="3" t="s">
        <v>39</v>
      </c>
    </row>
    <row r="22" spans="1:26" x14ac:dyDescent="0.25">
      <c r="A22" t="s">
        <v>212</v>
      </c>
      <c r="B22" t="s">
        <v>213</v>
      </c>
      <c r="C22" s="3" t="s">
        <v>8</v>
      </c>
      <c r="D22" s="3" t="str">
        <f>"216641455891261225"</f>
        <v>216641455891261225</v>
      </c>
      <c r="E22" s="3" t="s">
        <v>38</v>
      </c>
      <c r="F22" s="9">
        <v>3000</v>
      </c>
      <c r="G22" s="3" t="s">
        <v>39</v>
      </c>
      <c r="H22" s="3" t="s">
        <v>39</v>
      </c>
      <c r="I22" s="3" t="s">
        <v>40</v>
      </c>
      <c r="J22" s="3" t="str">
        <f>"19/02/2016 19:46"</f>
        <v>19/02/2016 19:46</v>
      </c>
      <c r="K22" s="3" t="str">
        <f>"9800377065"</f>
        <v>9800377065</v>
      </c>
      <c r="L22" s="3" t="s">
        <v>245</v>
      </c>
      <c r="M22" s="3" t="s">
        <v>249</v>
      </c>
      <c r="N22" t="s">
        <v>212</v>
      </c>
      <c r="O22" t="s">
        <v>213</v>
      </c>
      <c r="P22" s="9">
        <v>1</v>
      </c>
      <c r="Q22" s="7">
        <v>3000</v>
      </c>
      <c r="R22" s="7">
        <v>2895</v>
      </c>
      <c r="S22" s="7">
        <v>105</v>
      </c>
      <c r="T22" s="11">
        <v>3.5000000000000003E-2</v>
      </c>
      <c r="U22" s="11">
        <v>0</v>
      </c>
      <c r="V22" s="11">
        <v>0</v>
      </c>
      <c r="W22" s="11">
        <v>0</v>
      </c>
      <c r="X22" s="3" t="s">
        <v>39</v>
      </c>
      <c r="Y22" s="5" t="s">
        <v>165</v>
      </c>
      <c r="Z22" s="3" t="s">
        <v>39</v>
      </c>
    </row>
    <row r="23" spans="1:26" x14ac:dyDescent="0.25">
      <c r="A23" t="s">
        <v>210</v>
      </c>
      <c r="B23" t="s">
        <v>211</v>
      </c>
      <c r="C23" s="3" t="s">
        <v>8</v>
      </c>
      <c r="D23" s="3" t="str">
        <f>"626051455896118802"</f>
        <v>626051455896118802</v>
      </c>
      <c r="E23" s="3" t="s">
        <v>38</v>
      </c>
      <c r="F23" s="9">
        <v>3000</v>
      </c>
      <c r="G23" s="3" t="s">
        <v>39</v>
      </c>
      <c r="H23" s="3" t="s">
        <v>39</v>
      </c>
      <c r="I23" s="3" t="s">
        <v>40</v>
      </c>
      <c r="J23" s="3" t="str">
        <f>"19/02/2016 21:07"</f>
        <v>19/02/2016 21:07</v>
      </c>
      <c r="K23" s="3" t="str">
        <f>"9886616989"</f>
        <v>9886616989</v>
      </c>
      <c r="L23" s="3" t="s">
        <v>243</v>
      </c>
      <c r="M23" s="3" t="s">
        <v>249</v>
      </c>
      <c r="N23" t="s">
        <v>210</v>
      </c>
      <c r="O23" t="s">
        <v>211</v>
      </c>
      <c r="P23" s="9">
        <v>1</v>
      </c>
      <c r="Q23" s="7">
        <v>3000</v>
      </c>
      <c r="R23" s="7">
        <v>2895</v>
      </c>
      <c r="S23" s="7">
        <v>105</v>
      </c>
      <c r="T23" s="11">
        <v>3.5000000000000003E-2</v>
      </c>
      <c r="U23" s="11">
        <v>0</v>
      </c>
      <c r="V23" s="11">
        <v>0</v>
      </c>
      <c r="W23" s="11">
        <v>0</v>
      </c>
      <c r="X23" s="3" t="s">
        <v>39</v>
      </c>
      <c r="Y23" s="5" t="s">
        <v>165</v>
      </c>
      <c r="Z23" s="3" t="s">
        <v>39</v>
      </c>
    </row>
    <row r="24" spans="1:26" x14ac:dyDescent="0.25">
      <c r="A24" t="s">
        <v>208</v>
      </c>
      <c r="B24" t="s">
        <v>209</v>
      </c>
      <c r="C24" s="3" t="s">
        <v>8</v>
      </c>
      <c r="D24" s="3" t="str">
        <f>"563701455896862395"</f>
        <v>563701455896862395</v>
      </c>
      <c r="E24" s="3" t="s">
        <v>38</v>
      </c>
      <c r="F24" s="9">
        <v>3000</v>
      </c>
      <c r="G24" s="3" t="s">
        <v>39</v>
      </c>
      <c r="H24" s="3" t="s">
        <v>39</v>
      </c>
      <c r="I24" s="3" t="s">
        <v>40</v>
      </c>
      <c r="J24" s="3" t="str">
        <f>"19/02/2016 21:20"</f>
        <v>19/02/2016 21:20</v>
      </c>
      <c r="K24" s="3" t="str">
        <f>"9611971453"</f>
        <v>9611971453</v>
      </c>
      <c r="L24" s="3" t="s">
        <v>244</v>
      </c>
      <c r="M24" s="3" t="s">
        <v>249</v>
      </c>
      <c r="N24" t="s">
        <v>208</v>
      </c>
      <c r="O24" t="s">
        <v>209</v>
      </c>
      <c r="P24" s="9">
        <v>1</v>
      </c>
      <c r="Q24" s="7">
        <v>3000</v>
      </c>
      <c r="R24" s="7">
        <v>2895</v>
      </c>
      <c r="S24" s="7">
        <v>105</v>
      </c>
      <c r="T24" s="11">
        <v>3.5000000000000003E-2</v>
      </c>
      <c r="U24" s="11">
        <v>0</v>
      </c>
      <c r="V24" s="11">
        <v>0</v>
      </c>
      <c r="W24" s="11">
        <v>0</v>
      </c>
      <c r="X24" s="3" t="s">
        <v>39</v>
      </c>
      <c r="Y24" s="5" t="s">
        <v>165</v>
      </c>
      <c r="Z24" s="3" t="s">
        <v>39</v>
      </c>
    </row>
    <row r="25" spans="1:26" x14ac:dyDescent="0.25">
      <c r="A25" t="s">
        <v>204</v>
      </c>
      <c r="B25" t="s">
        <v>205</v>
      </c>
      <c r="C25" s="3" t="s">
        <v>8</v>
      </c>
      <c r="D25" s="3" t="str">
        <f>"172101455897041270"</f>
        <v>172101455897041270</v>
      </c>
      <c r="E25" s="3" t="s">
        <v>38</v>
      </c>
      <c r="F25" s="9">
        <v>3000</v>
      </c>
      <c r="G25" s="3" t="s">
        <v>39</v>
      </c>
      <c r="H25" s="3" t="s">
        <v>39</v>
      </c>
      <c r="I25" s="3" t="s">
        <v>40</v>
      </c>
      <c r="J25" s="3" t="str">
        <f>"19/02/2016 21:22"</f>
        <v>19/02/2016 21:22</v>
      </c>
      <c r="K25" s="3" t="str">
        <f>"9042225484"</f>
        <v>9042225484</v>
      </c>
      <c r="L25" s="3" t="s">
        <v>244</v>
      </c>
      <c r="M25" s="3" t="s">
        <v>249</v>
      </c>
      <c r="N25" t="s">
        <v>204</v>
      </c>
      <c r="O25" t="s">
        <v>205</v>
      </c>
      <c r="P25" s="9">
        <v>1</v>
      </c>
      <c r="Q25" s="7">
        <v>3000</v>
      </c>
      <c r="R25" s="7">
        <v>2895</v>
      </c>
      <c r="S25" s="7">
        <v>105</v>
      </c>
      <c r="T25" s="11">
        <v>3.5000000000000003E-2</v>
      </c>
      <c r="U25" s="11">
        <v>0</v>
      </c>
      <c r="V25" s="11">
        <v>0</v>
      </c>
      <c r="W25" s="11">
        <v>0</v>
      </c>
      <c r="X25" s="3" t="s">
        <v>39</v>
      </c>
      <c r="Y25" s="5" t="s">
        <v>165</v>
      </c>
      <c r="Z25" s="3" t="s">
        <v>39</v>
      </c>
    </row>
    <row r="26" spans="1:26" x14ac:dyDescent="0.25">
      <c r="A26" t="s">
        <v>206</v>
      </c>
      <c r="B26" t="s">
        <v>207</v>
      </c>
      <c r="C26" s="3" t="s">
        <v>8</v>
      </c>
      <c r="D26" s="3" t="str">
        <f>"172101455897041270"</f>
        <v>172101455897041270</v>
      </c>
      <c r="E26" s="3" t="s">
        <v>38</v>
      </c>
      <c r="F26" s="9">
        <v>3000</v>
      </c>
      <c r="G26" s="3" t="s">
        <v>39</v>
      </c>
      <c r="H26" s="3" t="s">
        <v>39</v>
      </c>
      <c r="I26" s="3" t="s">
        <v>40</v>
      </c>
      <c r="J26" s="3" t="str">
        <f>"19/02/2016 21:22"</f>
        <v>19/02/2016 21:22</v>
      </c>
      <c r="K26" s="3" t="str">
        <f>"9677666492"</f>
        <v>9677666492</v>
      </c>
      <c r="L26" s="3" t="s">
        <v>39</v>
      </c>
      <c r="M26" s="3" t="s">
        <v>249</v>
      </c>
      <c r="N26" t="s">
        <v>204</v>
      </c>
      <c r="O26" t="s">
        <v>205</v>
      </c>
      <c r="P26" s="9">
        <v>1</v>
      </c>
      <c r="Q26" s="7">
        <v>3000</v>
      </c>
      <c r="R26" s="7">
        <v>2895</v>
      </c>
      <c r="S26" s="7">
        <v>105</v>
      </c>
      <c r="T26" s="11">
        <v>3.5000000000000003E-2</v>
      </c>
      <c r="U26" s="11">
        <v>0</v>
      </c>
      <c r="V26" s="11">
        <v>0</v>
      </c>
      <c r="W26" s="11">
        <v>0</v>
      </c>
      <c r="X26" s="3" t="s">
        <v>39</v>
      </c>
      <c r="Y26" s="5" t="s">
        <v>165</v>
      </c>
      <c r="Z26" s="3" t="s">
        <v>39</v>
      </c>
    </row>
    <row r="27" spans="1:26" x14ac:dyDescent="0.25">
      <c r="A27" t="s">
        <v>200</v>
      </c>
      <c r="B27" t="s">
        <v>201</v>
      </c>
      <c r="C27" s="3" t="s">
        <v>8</v>
      </c>
      <c r="D27" s="3" t="str">
        <f>"237231455900716961"</f>
        <v>237231455900716961</v>
      </c>
      <c r="E27" s="3" t="s">
        <v>38</v>
      </c>
      <c r="F27" s="9">
        <v>3000</v>
      </c>
      <c r="G27" s="3" t="s">
        <v>39</v>
      </c>
      <c r="H27" s="3" t="s">
        <v>39</v>
      </c>
      <c r="I27" s="3" t="s">
        <v>40</v>
      </c>
      <c r="J27" s="3" t="str">
        <f>"19/02/2016 22:23"</f>
        <v>19/02/2016 22:23</v>
      </c>
      <c r="K27" s="3" t="str">
        <f>"+917411819945"</f>
        <v>+917411819945</v>
      </c>
      <c r="L27" s="3" t="s">
        <v>243</v>
      </c>
      <c r="M27" s="3" t="s">
        <v>249</v>
      </c>
      <c r="N27" t="s">
        <v>200</v>
      </c>
      <c r="O27" t="s">
        <v>201</v>
      </c>
      <c r="P27" s="9">
        <v>1</v>
      </c>
      <c r="Q27" s="7">
        <v>3000</v>
      </c>
      <c r="R27" s="7">
        <v>2895</v>
      </c>
      <c r="S27" s="7">
        <v>105</v>
      </c>
      <c r="T27" s="11">
        <v>3.5000000000000003E-2</v>
      </c>
      <c r="U27" s="11">
        <v>0</v>
      </c>
      <c r="V27" s="11">
        <v>0</v>
      </c>
      <c r="W27" s="11">
        <v>0</v>
      </c>
      <c r="X27" s="3" t="s">
        <v>39</v>
      </c>
      <c r="Y27" s="5" t="s">
        <v>165</v>
      </c>
      <c r="Z27" s="3" t="s">
        <v>39</v>
      </c>
    </row>
    <row r="28" spans="1:26" x14ac:dyDescent="0.25">
      <c r="A28" t="s">
        <v>202</v>
      </c>
      <c r="B28" t="s">
        <v>203</v>
      </c>
      <c r="C28" s="3" t="s">
        <v>8</v>
      </c>
      <c r="D28" s="3" t="str">
        <f>"237231455900716961"</f>
        <v>237231455900716961</v>
      </c>
      <c r="E28" s="3" t="s">
        <v>38</v>
      </c>
      <c r="F28" s="9">
        <v>3000</v>
      </c>
      <c r="G28" s="3" t="s">
        <v>39</v>
      </c>
      <c r="H28" s="3" t="s">
        <v>39</v>
      </c>
      <c r="I28" s="3" t="s">
        <v>40</v>
      </c>
      <c r="J28" s="3" t="str">
        <f>"19/02/2016 22:23"</f>
        <v>19/02/2016 22:23</v>
      </c>
      <c r="K28" s="3" t="str">
        <f>"8951471517"</f>
        <v>8951471517</v>
      </c>
      <c r="L28" s="3" t="s">
        <v>243</v>
      </c>
      <c r="M28" s="3" t="s">
        <v>249</v>
      </c>
      <c r="N28" t="s">
        <v>200</v>
      </c>
      <c r="O28" t="s">
        <v>201</v>
      </c>
      <c r="P28" s="9">
        <v>1</v>
      </c>
      <c r="Q28" s="7">
        <v>3000</v>
      </c>
      <c r="R28" s="7">
        <v>2895</v>
      </c>
      <c r="S28" s="7">
        <v>105</v>
      </c>
      <c r="T28" s="11">
        <v>3.5000000000000003E-2</v>
      </c>
      <c r="U28" s="11">
        <v>0</v>
      </c>
      <c r="V28" s="11">
        <v>0</v>
      </c>
      <c r="W28" s="11">
        <v>0</v>
      </c>
      <c r="X28" s="3" t="s">
        <v>39</v>
      </c>
      <c r="Y28" s="5" t="s">
        <v>165</v>
      </c>
      <c r="Z28" s="3" t="s">
        <v>39</v>
      </c>
    </row>
    <row r="29" spans="1:26" x14ac:dyDescent="0.25">
      <c r="A29" t="s">
        <v>198</v>
      </c>
      <c r="B29" t="s">
        <v>199</v>
      </c>
      <c r="C29" s="3" t="s">
        <v>8</v>
      </c>
      <c r="D29" s="3" t="str">
        <f>"112451455904361890"</f>
        <v>112451455904361890</v>
      </c>
      <c r="E29" s="3" t="s">
        <v>38</v>
      </c>
      <c r="F29" s="9">
        <v>3000</v>
      </c>
      <c r="G29" s="3" t="s">
        <v>39</v>
      </c>
      <c r="H29" s="3" t="s">
        <v>39</v>
      </c>
      <c r="I29" s="3" t="s">
        <v>40</v>
      </c>
      <c r="J29" s="3" t="str">
        <f>"19/02/2016 23:25"</f>
        <v>19/02/2016 23:25</v>
      </c>
      <c r="K29" s="3" t="str">
        <f>"8722140588"</f>
        <v>8722140588</v>
      </c>
      <c r="L29" s="3" t="s">
        <v>244</v>
      </c>
      <c r="M29" s="3" t="s">
        <v>249</v>
      </c>
      <c r="N29" t="s">
        <v>198</v>
      </c>
      <c r="O29" t="s">
        <v>199</v>
      </c>
      <c r="P29" s="9">
        <v>1</v>
      </c>
      <c r="Q29" s="7">
        <v>3000</v>
      </c>
      <c r="R29" s="7">
        <v>2895</v>
      </c>
      <c r="S29" s="7">
        <v>105</v>
      </c>
      <c r="T29" s="11">
        <v>3.5000000000000003E-2</v>
      </c>
      <c r="U29" s="11">
        <v>0</v>
      </c>
      <c r="V29" s="11">
        <v>0</v>
      </c>
      <c r="W29" s="11">
        <v>0</v>
      </c>
      <c r="X29" s="3" t="s">
        <v>39</v>
      </c>
      <c r="Y29" s="5" t="s">
        <v>165</v>
      </c>
      <c r="Z29" s="3" t="s">
        <v>39</v>
      </c>
    </row>
    <row r="30" spans="1:26" x14ac:dyDescent="0.25">
      <c r="A30" t="s">
        <v>196</v>
      </c>
      <c r="B30" t="s">
        <v>197</v>
      </c>
      <c r="C30" s="3" t="s">
        <v>8</v>
      </c>
      <c r="D30" s="3" t="str">
        <f>"661061456027940926"</f>
        <v>661061456027940926</v>
      </c>
      <c r="E30" s="3" t="s">
        <v>38</v>
      </c>
      <c r="F30" s="9">
        <v>3000</v>
      </c>
      <c r="G30" s="3" t="s">
        <v>39</v>
      </c>
      <c r="H30" s="3" t="s">
        <v>39</v>
      </c>
      <c r="I30" s="3" t="s">
        <v>40</v>
      </c>
      <c r="J30" s="3" t="str">
        <f>"21/02/2016 09:51"</f>
        <v>21/02/2016 09:51</v>
      </c>
      <c r="K30" s="3" t="str">
        <f>"+12026838703"</f>
        <v>+12026838703</v>
      </c>
      <c r="L30" s="3" t="s">
        <v>39</v>
      </c>
      <c r="M30" s="3" t="s">
        <v>249</v>
      </c>
      <c r="N30" t="s">
        <v>196</v>
      </c>
      <c r="O30" t="s">
        <v>197</v>
      </c>
      <c r="P30" s="9">
        <v>1</v>
      </c>
      <c r="Q30" s="7">
        <v>3000</v>
      </c>
      <c r="R30" s="7">
        <v>2895</v>
      </c>
      <c r="S30" s="7">
        <v>105</v>
      </c>
      <c r="T30" s="11">
        <v>3.5000000000000003E-2</v>
      </c>
      <c r="U30" s="11">
        <v>0</v>
      </c>
      <c r="V30" s="11">
        <v>0</v>
      </c>
      <c r="W30" s="11">
        <v>0</v>
      </c>
      <c r="X30" s="3" t="s">
        <v>39</v>
      </c>
      <c r="Y30" s="5" t="s">
        <v>165</v>
      </c>
      <c r="Z30" s="3" t="s">
        <v>39</v>
      </c>
    </row>
    <row r="31" spans="1:26" x14ac:dyDescent="0.25">
      <c r="A31" t="s">
        <v>194</v>
      </c>
      <c r="B31" t="s">
        <v>195</v>
      </c>
      <c r="C31" s="3" t="s">
        <v>8</v>
      </c>
      <c r="D31" s="3" t="str">
        <f>"203371456071457069"</f>
        <v>203371456071457069</v>
      </c>
      <c r="E31" s="3" t="s">
        <v>38</v>
      </c>
      <c r="F31" s="9">
        <v>3000</v>
      </c>
      <c r="G31" s="3" t="s">
        <v>39</v>
      </c>
      <c r="H31" s="3" t="s">
        <v>39</v>
      </c>
      <c r="I31" s="3" t="s">
        <v>40</v>
      </c>
      <c r="J31" s="3" t="str">
        <f>"21/02/2016 21:49"</f>
        <v>21/02/2016 21:49</v>
      </c>
      <c r="K31" s="3" t="str">
        <f>"9900305522"</f>
        <v>9900305522</v>
      </c>
      <c r="L31" s="3" t="s">
        <v>243</v>
      </c>
      <c r="M31" s="3" t="s">
        <v>249</v>
      </c>
      <c r="N31" t="s">
        <v>194</v>
      </c>
      <c r="O31" t="s">
        <v>195</v>
      </c>
      <c r="P31" s="9">
        <v>1</v>
      </c>
      <c r="Q31" s="7">
        <v>3000</v>
      </c>
      <c r="R31" s="7">
        <v>2895</v>
      </c>
      <c r="S31" s="7">
        <v>105</v>
      </c>
      <c r="T31" s="11">
        <v>3.5000000000000003E-2</v>
      </c>
      <c r="U31" s="11">
        <v>0</v>
      </c>
      <c r="V31" s="11">
        <v>0</v>
      </c>
      <c r="W31" s="11">
        <v>0</v>
      </c>
      <c r="X31" s="3" t="s">
        <v>39</v>
      </c>
      <c r="Y31" s="5" t="s">
        <v>165</v>
      </c>
      <c r="Z31" s="3" t="s">
        <v>39</v>
      </c>
    </row>
    <row r="32" spans="1:26" x14ac:dyDescent="0.25">
      <c r="A32" t="s">
        <v>192</v>
      </c>
      <c r="B32" t="s">
        <v>193</v>
      </c>
      <c r="C32" s="3" t="s">
        <v>8</v>
      </c>
      <c r="D32" s="3" t="str">
        <f>"064131456121434163"</f>
        <v>064131456121434163</v>
      </c>
      <c r="E32" s="3" t="s">
        <v>38</v>
      </c>
      <c r="F32" s="9">
        <v>3000</v>
      </c>
      <c r="G32" s="3" t="s">
        <v>39</v>
      </c>
      <c r="H32" s="3" t="s">
        <v>39</v>
      </c>
      <c r="I32" s="3" t="s">
        <v>40</v>
      </c>
      <c r="J32" s="3" t="str">
        <f>"22/02/2016 11:42"</f>
        <v>22/02/2016 11:42</v>
      </c>
      <c r="K32" s="3" t="str">
        <f>"9741978785"</f>
        <v>9741978785</v>
      </c>
      <c r="L32" s="3" t="s">
        <v>244</v>
      </c>
      <c r="M32" s="3" t="s">
        <v>249</v>
      </c>
      <c r="N32" t="s">
        <v>192</v>
      </c>
      <c r="O32" t="s">
        <v>193</v>
      </c>
      <c r="P32" s="9">
        <v>1</v>
      </c>
      <c r="Q32" s="7">
        <v>3000</v>
      </c>
      <c r="R32" s="7">
        <v>2895</v>
      </c>
      <c r="S32" s="7">
        <v>105</v>
      </c>
      <c r="T32" s="11">
        <v>3.5000000000000003E-2</v>
      </c>
      <c r="U32" s="11">
        <v>0</v>
      </c>
      <c r="V32" s="11">
        <v>0</v>
      </c>
      <c r="W32" s="11">
        <v>0</v>
      </c>
      <c r="X32" s="3" t="s">
        <v>39</v>
      </c>
      <c r="Y32" s="5" t="s">
        <v>165</v>
      </c>
      <c r="Z32" s="3" t="s">
        <v>39</v>
      </c>
    </row>
    <row r="33" spans="1:26" x14ac:dyDescent="0.25">
      <c r="A33" t="s">
        <v>190</v>
      </c>
      <c r="B33" t="s">
        <v>191</v>
      </c>
      <c r="C33" s="3" t="s">
        <v>8</v>
      </c>
      <c r="D33" s="3" t="str">
        <f>"530751456205554374"</f>
        <v>530751456205554374</v>
      </c>
      <c r="E33" s="3" t="s">
        <v>38</v>
      </c>
      <c r="F33" s="9">
        <v>3000</v>
      </c>
      <c r="G33" s="3" t="s">
        <v>39</v>
      </c>
      <c r="H33" s="3" t="s">
        <v>39</v>
      </c>
      <c r="I33" s="3" t="s">
        <v>40</v>
      </c>
      <c r="J33" s="3" t="str">
        <f>"23/02/2016 11:05"</f>
        <v>23/02/2016 11:05</v>
      </c>
      <c r="K33" s="3" t="str">
        <f>"9742763096"</f>
        <v>9742763096</v>
      </c>
      <c r="L33" s="3" t="s">
        <v>244</v>
      </c>
      <c r="M33" s="3" t="s">
        <v>249</v>
      </c>
      <c r="N33" t="s">
        <v>190</v>
      </c>
      <c r="O33" t="s">
        <v>191</v>
      </c>
      <c r="P33" s="9">
        <v>1</v>
      </c>
      <c r="Q33" s="7">
        <v>3000</v>
      </c>
      <c r="R33" s="7">
        <v>2895</v>
      </c>
      <c r="S33" s="7">
        <v>105</v>
      </c>
      <c r="T33" s="11">
        <v>3.5000000000000003E-2</v>
      </c>
      <c r="U33" s="11">
        <v>0</v>
      </c>
      <c r="V33" s="11">
        <v>0</v>
      </c>
      <c r="W33" s="11">
        <v>0</v>
      </c>
      <c r="X33" s="3" t="s">
        <v>39</v>
      </c>
      <c r="Y33" s="5" t="s">
        <v>165</v>
      </c>
      <c r="Z33" s="3" t="s">
        <v>39</v>
      </c>
    </row>
    <row r="34" spans="1:26" x14ac:dyDescent="0.25">
      <c r="A34" t="s">
        <v>63</v>
      </c>
      <c r="B34" t="s">
        <v>64</v>
      </c>
      <c r="C34" s="3" t="s">
        <v>8</v>
      </c>
      <c r="D34" s="3" t="str">
        <f>"112571456217825793"</f>
        <v>112571456217825793</v>
      </c>
      <c r="E34" s="3" t="s">
        <v>38</v>
      </c>
      <c r="F34" s="9">
        <v>3000</v>
      </c>
      <c r="G34" s="3" t="s">
        <v>39</v>
      </c>
      <c r="H34" s="3" t="s">
        <v>39</v>
      </c>
      <c r="I34" s="3" t="s">
        <v>40</v>
      </c>
      <c r="J34" s="3" t="str">
        <f>"23/02/2016 14:28"</f>
        <v>23/02/2016 14:28</v>
      </c>
      <c r="K34" s="3" t="str">
        <f>"7760616039"</f>
        <v>7760616039</v>
      </c>
      <c r="L34" s="3" t="s">
        <v>39</v>
      </c>
      <c r="M34" s="3" t="s">
        <v>249</v>
      </c>
      <c r="N34" t="s">
        <v>63</v>
      </c>
      <c r="O34" t="s">
        <v>64</v>
      </c>
      <c r="P34" s="9">
        <v>1</v>
      </c>
      <c r="Q34" s="7">
        <v>3000</v>
      </c>
      <c r="R34" s="7">
        <v>2895</v>
      </c>
      <c r="S34" s="7">
        <v>105</v>
      </c>
      <c r="T34" s="11">
        <v>3.5000000000000003E-2</v>
      </c>
      <c r="U34" s="11">
        <v>0</v>
      </c>
      <c r="V34" s="11">
        <v>0</v>
      </c>
      <c r="W34" s="11">
        <v>0</v>
      </c>
      <c r="X34" s="3" t="s">
        <v>39</v>
      </c>
      <c r="Y34" s="5" t="s">
        <v>165</v>
      </c>
      <c r="Z34" s="3" t="s">
        <v>39</v>
      </c>
    </row>
    <row r="35" spans="1:26" x14ac:dyDescent="0.25">
      <c r="A35" t="s">
        <v>47</v>
      </c>
      <c r="B35" t="s">
        <v>182</v>
      </c>
      <c r="C35" s="3" t="s">
        <v>8</v>
      </c>
      <c r="D35" s="3" t="str">
        <f>"300731456237362759"</f>
        <v>300731456237362759</v>
      </c>
      <c r="E35" s="3" t="s">
        <v>38</v>
      </c>
      <c r="F35" s="9">
        <v>3000</v>
      </c>
      <c r="G35" s="3" t="s">
        <v>39</v>
      </c>
      <c r="H35" s="3" t="s">
        <v>39</v>
      </c>
      <c r="I35" s="3" t="s">
        <v>40</v>
      </c>
      <c r="J35" s="3" t="str">
        <f>"23/02/2016 19:55"</f>
        <v>23/02/2016 19:55</v>
      </c>
      <c r="K35" s="3" t="str">
        <f>"9923059322"</f>
        <v>9923059322</v>
      </c>
      <c r="L35" s="3" t="s">
        <v>243</v>
      </c>
      <c r="M35" s="3" t="s">
        <v>249</v>
      </c>
      <c r="N35" t="s">
        <v>183</v>
      </c>
      <c r="O35" t="s">
        <v>184</v>
      </c>
      <c r="P35" s="9">
        <v>1</v>
      </c>
      <c r="Q35" s="7">
        <v>3000</v>
      </c>
      <c r="R35" s="7">
        <v>2895</v>
      </c>
      <c r="S35" s="7">
        <v>105</v>
      </c>
      <c r="T35" s="11">
        <v>3.5000000000000003E-2</v>
      </c>
      <c r="U35" s="11">
        <v>0</v>
      </c>
      <c r="V35" s="11">
        <v>0</v>
      </c>
      <c r="W35" s="11">
        <v>0</v>
      </c>
      <c r="X35" s="3" t="s">
        <v>39</v>
      </c>
      <c r="Y35" s="5" t="s">
        <v>165</v>
      </c>
      <c r="Z35" s="3" t="s">
        <v>39</v>
      </c>
    </row>
    <row r="36" spans="1:26" x14ac:dyDescent="0.25">
      <c r="A36" t="s">
        <v>185</v>
      </c>
      <c r="B36" t="s">
        <v>186</v>
      </c>
      <c r="C36" s="3" t="s">
        <v>8</v>
      </c>
      <c r="D36" s="3" t="str">
        <f>"300731456237362759"</f>
        <v>300731456237362759</v>
      </c>
      <c r="E36" s="3" t="s">
        <v>38</v>
      </c>
      <c r="F36" s="9">
        <v>3000</v>
      </c>
      <c r="G36" s="3" t="s">
        <v>39</v>
      </c>
      <c r="H36" s="3" t="s">
        <v>39</v>
      </c>
      <c r="I36" s="3" t="s">
        <v>40</v>
      </c>
      <c r="J36" s="3" t="str">
        <f>"23/02/2016 19:55"</f>
        <v>23/02/2016 19:55</v>
      </c>
      <c r="K36" s="3" t="str">
        <f>"9168673656"</f>
        <v>9168673656</v>
      </c>
      <c r="L36" s="3" t="s">
        <v>243</v>
      </c>
      <c r="M36" s="3" t="s">
        <v>249</v>
      </c>
      <c r="N36" t="s">
        <v>183</v>
      </c>
      <c r="O36" t="s">
        <v>184</v>
      </c>
      <c r="P36" s="9">
        <v>1</v>
      </c>
      <c r="Q36" s="7">
        <v>3000</v>
      </c>
      <c r="R36" s="7">
        <v>2895</v>
      </c>
      <c r="S36" s="7">
        <v>105</v>
      </c>
      <c r="T36" s="11">
        <v>3.5000000000000003E-2</v>
      </c>
      <c r="U36" s="11">
        <v>0</v>
      </c>
      <c r="V36" s="11">
        <v>0</v>
      </c>
      <c r="W36" s="11">
        <v>0</v>
      </c>
      <c r="X36" s="3" t="s">
        <v>39</v>
      </c>
      <c r="Y36" s="5" t="s">
        <v>165</v>
      </c>
      <c r="Z36" s="3" t="s">
        <v>39</v>
      </c>
    </row>
    <row r="37" spans="1:26" x14ac:dyDescent="0.25">
      <c r="A37" t="s">
        <v>187</v>
      </c>
      <c r="B37" t="s">
        <v>48</v>
      </c>
      <c r="C37" s="3" t="s">
        <v>8</v>
      </c>
      <c r="D37" s="3" t="str">
        <f>"300731456237362759"</f>
        <v>300731456237362759</v>
      </c>
      <c r="E37" s="3" t="s">
        <v>38</v>
      </c>
      <c r="F37" s="9">
        <v>3000</v>
      </c>
      <c r="G37" s="3" t="s">
        <v>39</v>
      </c>
      <c r="H37" s="3" t="s">
        <v>39</v>
      </c>
      <c r="I37" s="3" t="s">
        <v>40</v>
      </c>
      <c r="J37" s="3" t="str">
        <f>"23/02/2016 19:55"</f>
        <v>23/02/2016 19:55</v>
      </c>
      <c r="K37" s="3" t="str">
        <f>"9765606239"</f>
        <v>9765606239</v>
      </c>
      <c r="L37" s="3" t="s">
        <v>245</v>
      </c>
      <c r="M37" s="3" t="s">
        <v>248</v>
      </c>
      <c r="N37" t="s">
        <v>183</v>
      </c>
      <c r="O37" t="s">
        <v>184</v>
      </c>
      <c r="P37" s="9">
        <v>1</v>
      </c>
      <c r="Q37" s="7">
        <v>3000</v>
      </c>
      <c r="R37" s="7">
        <v>2895</v>
      </c>
      <c r="S37" s="7">
        <v>105</v>
      </c>
      <c r="T37" s="11">
        <v>3.5000000000000003E-2</v>
      </c>
      <c r="U37" s="11">
        <v>0</v>
      </c>
      <c r="V37" s="11">
        <v>0</v>
      </c>
      <c r="W37" s="11">
        <v>0</v>
      </c>
      <c r="X37" s="3" t="s">
        <v>39</v>
      </c>
      <c r="Y37" s="5" t="s">
        <v>165</v>
      </c>
      <c r="Z37" s="3" t="s">
        <v>39</v>
      </c>
    </row>
    <row r="38" spans="1:26" x14ac:dyDescent="0.25">
      <c r="A38" t="s">
        <v>188</v>
      </c>
      <c r="B38" t="s">
        <v>189</v>
      </c>
      <c r="C38" s="3" t="s">
        <v>8</v>
      </c>
      <c r="D38" s="3" t="str">
        <f>"300731456237362759"</f>
        <v>300731456237362759</v>
      </c>
      <c r="E38" s="3" t="s">
        <v>38</v>
      </c>
      <c r="F38" s="9">
        <v>3000</v>
      </c>
      <c r="G38" s="3" t="s">
        <v>39</v>
      </c>
      <c r="H38" s="3" t="s">
        <v>39</v>
      </c>
      <c r="I38" s="3" t="s">
        <v>40</v>
      </c>
      <c r="J38" s="3" t="str">
        <f>"23/02/2016 19:55"</f>
        <v>23/02/2016 19:55</v>
      </c>
      <c r="K38" s="3" t="str">
        <f>"7798875787"</f>
        <v>7798875787</v>
      </c>
      <c r="L38" s="3" t="s">
        <v>245</v>
      </c>
      <c r="M38" s="3" t="s">
        <v>248</v>
      </c>
      <c r="N38" t="s">
        <v>183</v>
      </c>
      <c r="O38" t="s">
        <v>184</v>
      </c>
      <c r="P38" s="9">
        <v>1</v>
      </c>
      <c r="Q38" s="7">
        <v>3000</v>
      </c>
      <c r="R38" s="7">
        <v>2895</v>
      </c>
      <c r="S38" s="7">
        <v>105</v>
      </c>
      <c r="T38" s="11">
        <v>3.5000000000000003E-2</v>
      </c>
      <c r="U38" s="11">
        <v>0</v>
      </c>
      <c r="V38" s="11">
        <v>0</v>
      </c>
      <c r="W38" s="11">
        <v>0</v>
      </c>
      <c r="X38" s="3" t="s">
        <v>39</v>
      </c>
      <c r="Y38" s="5" t="s">
        <v>165</v>
      </c>
      <c r="Z38" s="3" t="s">
        <v>39</v>
      </c>
    </row>
    <row r="39" spans="1:26" x14ac:dyDescent="0.25">
      <c r="A39" t="s">
        <v>76</v>
      </c>
      <c r="B39" t="s">
        <v>181</v>
      </c>
      <c r="C39" s="3" t="s">
        <v>8</v>
      </c>
      <c r="D39" s="3" t="str">
        <f>"520761456277105127"</f>
        <v>520761456277105127</v>
      </c>
      <c r="E39" s="3" t="s">
        <v>38</v>
      </c>
      <c r="F39" s="9">
        <v>3000</v>
      </c>
      <c r="G39" s="3" t="s">
        <v>39</v>
      </c>
      <c r="H39" s="3" t="s">
        <v>39</v>
      </c>
      <c r="I39" s="3" t="s">
        <v>40</v>
      </c>
      <c r="J39" s="3" t="str">
        <f>"24/02/2016 06:57"</f>
        <v>24/02/2016 06:57</v>
      </c>
      <c r="K39" s="3" t="str">
        <f>"9663395860"</f>
        <v>9663395860</v>
      </c>
      <c r="L39" s="3" t="s">
        <v>244</v>
      </c>
      <c r="M39" s="3" t="s">
        <v>249</v>
      </c>
      <c r="N39" t="s">
        <v>76</v>
      </c>
      <c r="O39" t="s">
        <v>181</v>
      </c>
      <c r="P39" s="9">
        <v>1</v>
      </c>
      <c r="Q39" s="7">
        <v>3000</v>
      </c>
      <c r="R39" s="7">
        <v>2895</v>
      </c>
      <c r="S39" s="7">
        <v>105</v>
      </c>
      <c r="T39" s="11">
        <v>3.5000000000000003E-2</v>
      </c>
      <c r="U39" s="11">
        <v>0</v>
      </c>
      <c r="V39" s="11">
        <v>0</v>
      </c>
      <c r="W39" s="11">
        <v>0</v>
      </c>
      <c r="X39" s="3" t="s">
        <v>39</v>
      </c>
      <c r="Y39" s="5" t="s">
        <v>165</v>
      </c>
      <c r="Z39" s="3" t="s">
        <v>39</v>
      </c>
    </row>
    <row r="40" spans="1:26" x14ac:dyDescent="0.25">
      <c r="A40" t="s">
        <v>179</v>
      </c>
      <c r="B40" t="s">
        <v>180</v>
      </c>
      <c r="C40" s="3" t="s">
        <v>8</v>
      </c>
      <c r="D40" s="3" t="str">
        <f>"201351456289559386"</f>
        <v>201351456289559386</v>
      </c>
      <c r="E40" s="3" t="s">
        <v>38</v>
      </c>
      <c r="F40" s="9">
        <v>3000</v>
      </c>
      <c r="G40" s="3" t="s">
        <v>39</v>
      </c>
      <c r="H40" s="3" t="s">
        <v>39</v>
      </c>
      <c r="I40" s="3" t="s">
        <v>40</v>
      </c>
      <c r="J40" s="3" t="str">
        <f>"24/02/2016 10:24"</f>
        <v>24/02/2016 10:24</v>
      </c>
      <c r="K40" s="3" t="str">
        <f>"9535284671"</f>
        <v>9535284671</v>
      </c>
      <c r="L40" s="3" t="s">
        <v>244</v>
      </c>
      <c r="M40" s="3" t="s">
        <v>249</v>
      </c>
      <c r="N40" t="s">
        <v>179</v>
      </c>
      <c r="O40" t="s">
        <v>180</v>
      </c>
      <c r="P40" s="9">
        <v>1</v>
      </c>
      <c r="Q40" s="7">
        <v>3000</v>
      </c>
      <c r="R40" s="7">
        <v>2895</v>
      </c>
      <c r="S40" s="7">
        <v>105</v>
      </c>
      <c r="T40" s="11">
        <v>3.5000000000000003E-2</v>
      </c>
      <c r="U40" s="11">
        <v>0</v>
      </c>
      <c r="V40" s="11">
        <v>0</v>
      </c>
      <c r="W40" s="11">
        <v>0</v>
      </c>
      <c r="X40" s="3" t="s">
        <v>39</v>
      </c>
      <c r="Y40" s="5" t="s">
        <v>165</v>
      </c>
      <c r="Z40" s="3" t="s">
        <v>39</v>
      </c>
    </row>
    <row r="41" spans="1:26" x14ac:dyDescent="0.25">
      <c r="A41" t="s">
        <v>175</v>
      </c>
      <c r="B41" t="s">
        <v>176</v>
      </c>
      <c r="C41" s="3" t="s">
        <v>8</v>
      </c>
      <c r="D41" s="3" t="str">
        <f>"426321456298343494"</f>
        <v>426321456298343494</v>
      </c>
      <c r="E41" s="3" t="s">
        <v>38</v>
      </c>
      <c r="F41" s="9">
        <v>3000</v>
      </c>
      <c r="G41" s="3" t="s">
        <v>39</v>
      </c>
      <c r="H41" s="3" t="s">
        <v>39</v>
      </c>
      <c r="I41" s="3" t="s">
        <v>40</v>
      </c>
      <c r="J41" s="3" t="str">
        <f>"24/02/2016 12:50"</f>
        <v>24/02/2016 12:50</v>
      </c>
      <c r="K41" s="3" t="str">
        <f>"9094214388"</f>
        <v>9094214388</v>
      </c>
      <c r="L41" s="3" t="str">
        <f>"39"</f>
        <v>39</v>
      </c>
      <c r="M41" s="3" t="s">
        <v>249</v>
      </c>
      <c r="N41" t="s">
        <v>175</v>
      </c>
      <c r="O41" t="s">
        <v>176</v>
      </c>
      <c r="P41" s="9">
        <v>1</v>
      </c>
      <c r="Q41" s="7">
        <v>3000</v>
      </c>
      <c r="R41" s="7">
        <v>2895</v>
      </c>
      <c r="S41" s="7">
        <v>105</v>
      </c>
      <c r="T41" s="11">
        <v>3.5000000000000003E-2</v>
      </c>
      <c r="U41" s="11">
        <v>0</v>
      </c>
      <c r="V41" s="11">
        <v>0</v>
      </c>
      <c r="W41" s="11">
        <v>0</v>
      </c>
      <c r="X41" s="3" t="s">
        <v>39</v>
      </c>
      <c r="Y41" s="5" t="s">
        <v>165</v>
      </c>
      <c r="Z41" s="3" t="s">
        <v>39</v>
      </c>
    </row>
    <row r="42" spans="1:26" x14ac:dyDescent="0.25">
      <c r="A42" t="s">
        <v>177</v>
      </c>
      <c r="B42" t="s">
        <v>178</v>
      </c>
      <c r="C42" s="3" t="s">
        <v>8</v>
      </c>
      <c r="D42" s="3" t="str">
        <f>"426321456298343494"</f>
        <v>426321456298343494</v>
      </c>
      <c r="E42" s="3" t="s">
        <v>38</v>
      </c>
      <c r="F42" s="9">
        <v>3000</v>
      </c>
      <c r="G42" s="3" t="s">
        <v>39</v>
      </c>
      <c r="H42" s="3" t="s">
        <v>39</v>
      </c>
      <c r="I42" s="3" t="s">
        <v>40</v>
      </c>
      <c r="J42" s="3" t="str">
        <f>"24/02/2016 12:50"</f>
        <v>24/02/2016 12:50</v>
      </c>
      <c r="K42" s="3" t="str">
        <f>"7899205111"</f>
        <v>7899205111</v>
      </c>
      <c r="L42" s="3" t="str">
        <f>"39"</f>
        <v>39</v>
      </c>
      <c r="M42" s="3" t="s">
        <v>249</v>
      </c>
      <c r="N42" t="s">
        <v>175</v>
      </c>
      <c r="O42" t="s">
        <v>176</v>
      </c>
      <c r="P42" s="9">
        <v>1</v>
      </c>
      <c r="Q42" s="7">
        <v>3000</v>
      </c>
      <c r="R42" s="7">
        <v>2895</v>
      </c>
      <c r="S42" s="7">
        <v>105</v>
      </c>
      <c r="T42" s="11">
        <v>3.5000000000000003E-2</v>
      </c>
      <c r="U42" s="11">
        <v>0</v>
      </c>
      <c r="V42" s="11">
        <v>0</v>
      </c>
      <c r="W42" s="11">
        <v>0</v>
      </c>
      <c r="X42" s="3" t="s">
        <v>39</v>
      </c>
      <c r="Y42" s="5" t="s">
        <v>165</v>
      </c>
      <c r="Z42" s="3" t="s">
        <v>39</v>
      </c>
    </row>
    <row r="43" spans="1:26" x14ac:dyDescent="0.25">
      <c r="A43" t="s">
        <v>174</v>
      </c>
      <c r="B43" t="s">
        <v>42</v>
      </c>
      <c r="C43" s="3" t="s">
        <v>8</v>
      </c>
      <c r="D43" s="3" t="str">
        <f>"077121456311845412"</f>
        <v>077121456311845412</v>
      </c>
      <c r="E43" s="3" t="s">
        <v>38</v>
      </c>
      <c r="F43" s="9">
        <v>3000</v>
      </c>
      <c r="G43" s="3" t="s">
        <v>39</v>
      </c>
      <c r="H43" s="3" t="s">
        <v>39</v>
      </c>
      <c r="I43" s="3" t="s">
        <v>40</v>
      </c>
      <c r="J43" s="3" t="str">
        <f>"24/02/2016 16:35"</f>
        <v>24/02/2016 16:35</v>
      </c>
      <c r="K43" s="3" t="str">
        <f>"9591855666"</f>
        <v>9591855666</v>
      </c>
      <c r="L43" s="3" t="s">
        <v>244</v>
      </c>
      <c r="M43" s="3" t="s">
        <v>249</v>
      </c>
      <c r="N43" t="s">
        <v>174</v>
      </c>
      <c r="O43" t="s">
        <v>42</v>
      </c>
      <c r="P43" s="9">
        <v>1</v>
      </c>
      <c r="Q43" s="7">
        <v>3000</v>
      </c>
      <c r="R43" s="7">
        <v>2895</v>
      </c>
      <c r="S43" s="7">
        <v>105</v>
      </c>
      <c r="T43" s="11">
        <v>3.5000000000000003E-2</v>
      </c>
      <c r="U43" s="11">
        <v>0</v>
      </c>
      <c r="V43" s="11">
        <v>0</v>
      </c>
      <c r="W43" s="11">
        <v>0</v>
      </c>
      <c r="X43" s="3" t="s">
        <v>39</v>
      </c>
      <c r="Y43" s="5" t="s">
        <v>165</v>
      </c>
      <c r="Z43" s="3" t="s">
        <v>39</v>
      </c>
    </row>
    <row r="44" spans="1:26" x14ac:dyDescent="0.25">
      <c r="A44" t="s">
        <v>168</v>
      </c>
      <c r="B44" t="s">
        <v>169</v>
      </c>
      <c r="C44" s="3" t="s">
        <v>8</v>
      </c>
      <c r="D44" s="3" t="str">
        <f>"440271456379360768"</f>
        <v>440271456379360768</v>
      </c>
      <c r="E44" s="3" t="s">
        <v>38</v>
      </c>
      <c r="F44" s="9">
        <v>3000</v>
      </c>
      <c r="G44" s="3" t="s">
        <v>39</v>
      </c>
      <c r="H44" s="3" t="s">
        <v>39</v>
      </c>
      <c r="I44" s="3" t="s">
        <v>40</v>
      </c>
      <c r="J44" s="3" t="str">
        <f>"25/02/2016 11:22"</f>
        <v>25/02/2016 11:22</v>
      </c>
      <c r="K44" s="3" t="str">
        <f>"9986007436"</f>
        <v>9986007436</v>
      </c>
      <c r="L44" s="3" t="s">
        <v>246</v>
      </c>
      <c r="M44" s="3" t="s">
        <v>248</v>
      </c>
      <c r="N44" t="s">
        <v>168</v>
      </c>
      <c r="O44" t="s">
        <v>169</v>
      </c>
      <c r="P44" s="9">
        <v>1</v>
      </c>
      <c r="Q44" s="7">
        <v>3000</v>
      </c>
      <c r="R44" s="7">
        <v>2895</v>
      </c>
      <c r="S44" s="7">
        <v>105</v>
      </c>
      <c r="T44" s="11">
        <v>3.5000000000000003E-2</v>
      </c>
      <c r="U44" s="11">
        <v>0</v>
      </c>
      <c r="V44" s="11">
        <v>0</v>
      </c>
      <c r="W44" s="11">
        <v>0</v>
      </c>
      <c r="X44" s="3" t="s">
        <v>39</v>
      </c>
      <c r="Y44" s="5" t="s">
        <v>165</v>
      </c>
      <c r="Z44" s="3" t="s">
        <v>39</v>
      </c>
    </row>
    <row r="45" spans="1:26" x14ac:dyDescent="0.25">
      <c r="A45" t="s">
        <v>170</v>
      </c>
      <c r="B45" t="s">
        <v>171</v>
      </c>
      <c r="C45" s="3" t="s">
        <v>8</v>
      </c>
      <c r="D45" s="3" t="str">
        <f>"440271456379360768"</f>
        <v>440271456379360768</v>
      </c>
      <c r="E45" s="3" t="s">
        <v>38</v>
      </c>
      <c r="F45" s="9">
        <v>3000</v>
      </c>
      <c r="G45" s="3" t="s">
        <v>39</v>
      </c>
      <c r="H45" s="3" t="s">
        <v>39</v>
      </c>
      <c r="I45" s="3" t="s">
        <v>40</v>
      </c>
      <c r="J45" s="3" t="str">
        <f>"25/02/2016 11:22"</f>
        <v>25/02/2016 11:22</v>
      </c>
      <c r="K45" s="3" t="str">
        <f>"9741037705"</f>
        <v>9741037705</v>
      </c>
      <c r="L45" s="3" t="s">
        <v>246</v>
      </c>
      <c r="M45" s="3" t="s">
        <v>248</v>
      </c>
      <c r="N45" t="s">
        <v>168</v>
      </c>
      <c r="O45" t="s">
        <v>169</v>
      </c>
      <c r="P45" s="9">
        <v>1</v>
      </c>
      <c r="Q45" s="7">
        <v>3000</v>
      </c>
      <c r="R45" s="7">
        <v>2895</v>
      </c>
      <c r="S45" s="7">
        <v>105</v>
      </c>
      <c r="T45" s="11">
        <v>3.5000000000000003E-2</v>
      </c>
      <c r="U45" s="11">
        <v>0</v>
      </c>
      <c r="V45" s="11">
        <v>0</v>
      </c>
      <c r="W45" s="11">
        <v>0</v>
      </c>
      <c r="X45" s="3" t="s">
        <v>39</v>
      </c>
      <c r="Y45" s="5" t="s">
        <v>165</v>
      </c>
      <c r="Z45" s="3" t="s">
        <v>39</v>
      </c>
    </row>
    <row r="46" spans="1:26" x14ac:dyDescent="0.25">
      <c r="A46" t="s">
        <v>172</v>
      </c>
      <c r="B46" t="s">
        <v>173</v>
      </c>
      <c r="C46" s="3" t="s">
        <v>8</v>
      </c>
      <c r="D46" s="3" t="str">
        <f>"440271456379360768"</f>
        <v>440271456379360768</v>
      </c>
      <c r="E46" s="3" t="s">
        <v>38</v>
      </c>
      <c r="F46" s="9">
        <v>3000</v>
      </c>
      <c r="G46" s="3" t="s">
        <v>39</v>
      </c>
      <c r="H46" s="3" t="s">
        <v>39</v>
      </c>
      <c r="I46" s="3" t="s">
        <v>40</v>
      </c>
      <c r="J46" s="3" t="str">
        <f>"25/02/2016 11:22"</f>
        <v>25/02/2016 11:22</v>
      </c>
      <c r="K46" s="3" t="str">
        <f>"9972781970"</f>
        <v>9972781970</v>
      </c>
      <c r="L46" s="3" t="s">
        <v>243</v>
      </c>
      <c r="M46" s="3" t="s">
        <v>249</v>
      </c>
      <c r="N46" t="s">
        <v>168</v>
      </c>
      <c r="O46" t="s">
        <v>169</v>
      </c>
      <c r="P46" s="9">
        <v>1</v>
      </c>
      <c r="Q46" s="7">
        <v>3000</v>
      </c>
      <c r="R46" s="7">
        <v>2895</v>
      </c>
      <c r="S46" s="7">
        <v>105</v>
      </c>
      <c r="T46" s="11">
        <v>3.5000000000000003E-2</v>
      </c>
      <c r="U46" s="11">
        <v>0</v>
      </c>
      <c r="V46" s="11">
        <v>0</v>
      </c>
      <c r="W46" s="11">
        <v>0</v>
      </c>
      <c r="X46" s="3" t="s">
        <v>39</v>
      </c>
      <c r="Y46" s="5" t="s">
        <v>165</v>
      </c>
      <c r="Z46" s="3" t="s">
        <v>39</v>
      </c>
    </row>
    <row r="47" spans="1:26" x14ac:dyDescent="0.25">
      <c r="A47" t="s">
        <v>166</v>
      </c>
      <c r="B47" t="s">
        <v>167</v>
      </c>
      <c r="C47" s="3" t="s">
        <v>8</v>
      </c>
      <c r="D47" s="3" t="str">
        <f>"570621456390301230"</f>
        <v>570621456390301230</v>
      </c>
      <c r="E47" s="3" t="s">
        <v>38</v>
      </c>
      <c r="F47" s="9">
        <v>3000</v>
      </c>
      <c r="G47" s="3" t="s">
        <v>39</v>
      </c>
      <c r="H47" s="3" t="s">
        <v>39</v>
      </c>
      <c r="I47" s="3" t="s">
        <v>40</v>
      </c>
      <c r="J47" s="3" t="str">
        <f>"25/02/2016 14:25"</f>
        <v>25/02/2016 14:25</v>
      </c>
      <c r="K47" s="3" t="str">
        <f>"9945036812"</f>
        <v>9945036812</v>
      </c>
      <c r="L47" s="3" t="s">
        <v>244</v>
      </c>
      <c r="M47" s="3" t="s">
        <v>249</v>
      </c>
      <c r="N47" t="s">
        <v>166</v>
      </c>
      <c r="O47" t="s">
        <v>167</v>
      </c>
      <c r="P47" s="9">
        <v>1</v>
      </c>
      <c r="Q47" s="7">
        <v>3000</v>
      </c>
      <c r="R47" s="7">
        <v>2895</v>
      </c>
      <c r="S47" s="7">
        <v>105</v>
      </c>
      <c r="T47" s="11">
        <v>3.5000000000000003E-2</v>
      </c>
      <c r="U47" s="11">
        <v>0</v>
      </c>
      <c r="V47" s="11">
        <v>0</v>
      </c>
      <c r="W47" s="11">
        <v>0</v>
      </c>
      <c r="X47" s="3" t="s">
        <v>39</v>
      </c>
      <c r="Y47" s="5" t="s">
        <v>165</v>
      </c>
      <c r="Z47" s="3" t="s">
        <v>39</v>
      </c>
    </row>
    <row r="48" spans="1:26" x14ac:dyDescent="0.25">
      <c r="A48" t="s">
        <v>163</v>
      </c>
      <c r="B48" t="s">
        <v>164</v>
      </c>
      <c r="C48" s="3" t="s">
        <v>8</v>
      </c>
      <c r="D48" s="3" t="str">
        <f>"375021456404663198"</f>
        <v>375021456404663198</v>
      </c>
      <c r="E48" s="3" t="s">
        <v>38</v>
      </c>
      <c r="F48" s="9">
        <v>3000</v>
      </c>
      <c r="G48" s="3" t="s">
        <v>39</v>
      </c>
      <c r="H48" s="3" t="s">
        <v>39</v>
      </c>
      <c r="I48" s="3" t="s">
        <v>40</v>
      </c>
      <c r="J48" s="3" t="str">
        <f>"25/02/2016 18:16"</f>
        <v>25/02/2016 18:16</v>
      </c>
      <c r="K48" s="3" t="str">
        <f>"8884022297"</f>
        <v>8884022297</v>
      </c>
      <c r="L48" s="3" t="s">
        <v>245</v>
      </c>
      <c r="M48" s="3" t="s">
        <v>248</v>
      </c>
      <c r="N48" t="s">
        <v>163</v>
      </c>
      <c r="O48" t="s">
        <v>164</v>
      </c>
      <c r="P48" s="9">
        <v>1</v>
      </c>
      <c r="Q48" s="7">
        <v>3000</v>
      </c>
      <c r="R48" s="7">
        <v>2895</v>
      </c>
      <c r="S48" s="7">
        <v>105</v>
      </c>
      <c r="T48" s="11">
        <v>3.5000000000000003E-2</v>
      </c>
      <c r="U48" s="11">
        <v>0</v>
      </c>
      <c r="V48" s="11">
        <v>0</v>
      </c>
      <c r="W48" s="11">
        <v>0</v>
      </c>
      <c r="X48" s="3" t="s">
        <v>39</v>
      </c>
      <c r="Y48" s="5" t="s">
        <v>165</v>
      </c>
      <c r="Z48" s="3" t="s">
        <v>39</v>
      </c>
    </row>
    <row r="49" spans="1:26" x14ac:dyDescent="0.25">
      <c r="A49" t="s">
        <v>161</v>
      </c>
      <c r="B49" t="s">
        <v>162</v>
      </c>
      <c r="C49" s="3" t="s">
        <v>8</v>
      </c>
      <c r="D49" s="3" t="str">
        <f>"065161456502218302"</f>
        <v>065161456502218302</v>
      </c>
      <c r="E49" s="3" t="s">
        <v>38</v>
      </c>
      <c r="F49" s="9">
        <v>3000</v>
      </c>
      <c r="G49" s="3" t="s">
        <v>39</v>
      </c>
      <c r="H49" s="3" t="s">
        <v>39</v>
      </c>
      <c r="I49" s="3" t="s">
        <v>40</v>
      </c>
      <c r="J49" s="3" t="str">
        <f>"26/02/2016 21:27"</f>
        <v>26/02/2016 21:27</v>
      </c>
      <c r="K49" s="3" t="str">
        <f>"7406396450"</f>
        <v>7406396450</v>
      </c>
      <c r="L49" s="3" t="s">
        <v>244</v>
      </c>
      <c r="M49" s="3" t="s">
        <v>249</v>
      </c>
      <c r="N49" t="s">
        <v>161</v>
      </c>
      <c r="O49" t="s">
        <v>162</v>
      </c>
      <c r="P49" s="9">
        <v>1</v>
      </c>
      <c r="Q49" s="7">
        <v>3000</v>
      </c>
      <c r="R49" s="7">
        <v>2895</v>
      </c>
      <c r="S49" s="7">
        <v>105</v>
      </c>
      <c r="T49" s="11">
        <v>3.5000000000000003E-2</v>
      </c>
      <c r="U49" s="11">
        <v>0</v>
      </c>
      <c r="V49" s="11">
        <v>0</v>
      </c>
      <c r="W49" s="11">
        <v>0</v>
      </c>
      <c r="X49" s="3" t="s">
        <v>39</v>
      </c>
      <c r="Y49" s="5" t="s">
        <v>130</v>
      </c>
      <c r="Z49" s="3" t="s">
        <v>39</v>
      </c>
    </row>
    <row r="50" spans="1:26" x14ac:dyDescent="0.25">
      <c r="A50" t="s">
        <v>159</v>
      </c>
      <c r="B50" t="s">
        <v>160</v>
      </c>
      <c r="C50" s="3" t="s">
        <v>8</v>
      </c>
      <c r="D50" s="3" t="str">
        <f>"276661456568355478"</f>
        <v>276661456568355478</v>
      </c>
      <c r="E50" s="3" t="s">
        <v>38</v>
      </c>
      <c r="F50" s="9">
        <v>3000</v>
      </c>
      <c r="G50" s="3" t="s">
        <v>39</v>
      </c>
      <c r="H50" s="3" t="s">
        <v>39</v>
      </c>
      <c r="I50" s="3" t="s">
        <v>40</v>
      </c>
      <c r="J50" s="3" t="str">
        <f>"27/02/2016 15:51"</f>
        <v>27/02/2016 15:51</v>
      </c>
      <c r="K50" s="3" t="str">
        <f>"09538220901"</f>
        <v>09538220901</v>
      </c>
      <c r="L50" s="3" t="str">
        <f>"XXL"</f>
        <v>XXL</v>
      </c>
      <c r="M50" s="3" t="s">
        <v>249</v>
      </c>
      <c r="N50" t="s">
        <v>159</v>
      </c>
      <c r="O50" t="s">
        <v>160</v>
      </c>
      <c r="P50" s="9">
        <v>1</v>
      </c>
      <c r="Q50" s="7">
        <v>3000</v>
      </c>
      <c r="R50" s="7">
        <v>2895</v>
      </c>
      <c r="S50" s="7">
        <v>105</v>
      </c>
      <c r="T50" s="11">
        <v>3.5000000000000003E-2</v>
      </c>
      <c r="U50" s="11">
        <v>0</v>
      </c>
      <c r="V50" s="11">
        <v>0</v>
      </c>
      <c r="W50" s="11">
        <v>0</v>
      </c>
      <c r="X50" s="3" t="s">
        <v>39</v>
      </c>
      <c r="Y50" s="5" t="s">
        <v>130</v>
      </c>
      <c r="Z50" s="3" t="s">
        <v>39</v>
      </c>
    </row>
    <row r="51" spans="1:26" x14ac:dyDescent="0.25">
      <c r="A51" t="s">
        <v>151</v>
      </c>
      <c r="B51" t="s">
        <v>152</v>
      </c>
      <c r="C51" s="3" t="s">
        <v>8</v>
      </c>
      <c r="D51" s="3" t="str">
        <f>"730111456719407979"</f>
        <v>730111456719407979</v>
      </c>
      <c r="E51" s="3" t="s">
        <v>38</v>
      </c>
      <c r="F51" s="9">
        <v>3000</v>
      </c>
      <c r="G51" s="3" t="s">
        <v>39</v>
      </c>
      <c r="H51" s="3" t="s">
        <v>39</v>
      </c>
      <c r="I51" s="3" t="s">
        <v>40</v>
      </c>
      <c r="J51" s="3" t="str">
        <f>"29/02/2016 09:48"</f>
        <v>29/02/2016 09:48</v>
      </c>
      <c r="K51" s="3" t="str">
        <f>"8553828823"</f>
        <v>8553828823</v>
      </c>
      <c r="L51" s="3" t="s">
        <v>39</v>
      </c>
      <c r="M51" s="3" t="s">
        <v>249</v>
      </c>
      <c r="N51" t="s">
        <v>153</v>
      </c>
      <c r="O51" t="s">
        <v>154</v>
      </c>
      <c r="P51" s="9">
        <v>1</v>
      </c>
      <c r="Q51" s="7">
        <v>3000</v>
      </c>
      <c r="R51" s="7">
        <v>2895</v>
      </c>
      <c r="S51" s="7">
        <v>105</v>
      </c>
      <c r="T51" s="11">
        <v>3.5000000000000003E-2</v>
      </c>
      <c r="U51" s="11">
        <v>0</v>
      </c>
      <c r="V51" s="11">
        <v>0</v>
      </c>
      <c r="W51" s="11">
        <v>0</v>
      </c>
      <c r="X51" s="3" t="s">
        <v>39</v>
      </c>
      <c r="Y51" s="5" t="s">
        <v>130</v>
      </c>
      <c r="Z51" s="3" t="s">
        <v>39</v>
      </c>
    </row>
    <row r="52" spans="1:26" x14ac:dyDescent="0.25">
      <c r="A52" t="s">
        <v>155</v>
      </c>
      <c r="B52" t="s">
        <v>156</v>
      </c>
      <c r="C52" s="3" t="s">
        <v>8</v>
      </c>
      <c r="D52" s="3" t="str">
        <f>"730111456719407979"</f>
        <v>730111456719407979</v>
      </c>
      <c r="E52" s="3" t="s">
        <v>38</v>
      </c>
      <c r="F52" s="9">
        <v>3000</v>
      </c>
      <c r="G52" s="3" t="s">
        <v>39</v>
      </c>
      <c r="H52" s="3" t="s">
        <v>39</v>
      </c>
      <c r="I52" s="3" t="s">
        <v>40</v>
      </c>
      <c r="J52" s="3" t="str">
        <f>"29/02/2016 09:48"</f>
        <v>29/02/2016 09:48</v>
      </c>
      <c r="K52" s="3" t="str">
        <f>"07259199682"</f>
        <v>07259199682</v>
      </c>
      <c r="L52" s="3" t="s">
        <v>39</v>
      </c>
      <c r="M52" s="3" t="s">
        <v>249</v>
      </c>
      <c r="N52" t="s">
        <v>153</v>
      </c>
      <c r="O52" t="s">
        <v>154</v>
      </c>
      <c r="P52" s="9">
        <v>1</v>
      </c>
      <c r="Q52" s="7">
        <v>3000</v>
      </c>
      <c r="R52" s="7">
        <v>2895</v>
      </c>
      <c r="S52" s="7">
        <v>105</v>
      </c>
      <c r="T52" s="11">
        <v>3.5000000000000003E-2</v>
      </c>
      <c r="U52" s="11">
        <v>0</v>
      </c>
      <c r="V52" s="11">
        <v>0</v>
      </c>
      <c r="W52" s="11">
        <v>0</v>
      </c>
      <c r="X52" s="3" t="s">
        <v>39</v>
      </c>
      <c r="Y52" s="5" t="s">
        <v>130</v>
      </c>
      <c r="Z52" s="3" t="s">
        <v>39</v>
      </c>
    </row>
    <row r="53" spans="1:26" x14ac:dyDescent="0.25">
      <c r="A53" t="s">
        <v>157</v>
      </c>
      <c r="B53" t="s">
        <v>158</v>
      </c>
      <c r="C53" s="3" t="s">
        <v>8</v>
      </c>
      <c r="D53" s="3" t="str">
        <f>"730111456719407979"</f>
        <v>730111456719407979</v>
      </c>
      <c r="E53" s="3" t="s">
        <v>38</v>
      </c>
      <c r="F53" s="9">
        <v>3000</v>
      </c>
      <c r="G53" s="3" t="s">
        <v>39</v>
      </c>
      <c r="H53" s="3" t="s">
        <v>39</v>
      </c>
      <c r="I53" s="3" t="s">
        <v>40</v>
      </c>
      <c r="J53" s="3" t="str">
        <f>"29/02/2016 09:48"</f>
        <v>29/02/2016 09:48</v>
      </c>
      <c r="K53" s="3" t="str">
        <f>"8904727172"</f>
        <v>8904727172</v>
      </c>
      <c r="L53" s="3" t="s">
        <v>39</v>
      </c>
      <c r="M53" s="3" t="s">
        <v>249</v>
      </c>
      <c r="N53" t="s">
        <v>153</v>
      </c>
      <c r="O53" t="s">
        <v>154</v>
      </c>
      <c r="P53" s="9">
        <v>1</v>
      </c>
      <c r="Q53" s="7">
        <v>3000</v>
      </c>
      <c r="R53" s="7">
        <v>2895</v>
      </c>
      <c r="S53" s="7">
        <v>105</v>
      </c>
      <c r="T53" s="11">
        <v>3.5000000000000003E-2</v>
      </c>
      <c r="U53" s="11">
        <v>0</v>
      </c>
      <c r="V53" s="11">
        <v>0</v>
      </c>
      <c r="W53" s="11">
        <v>0</v>
      </c>
      <c r="X53" s="3" t="s">
        <v>39</v>
      </c>
      <c r="Y53" s="5" t="s">
        <v>130</v>
      </c>
      <c r="Z53" s="3" t="s">
        <v>39</v>
      </c>
    </row>
    <row r="54" spans="1:26" x14ac:dyDescent="0.25">
      <c r="A54" t="s">
        <v>146</v>
      </c>
      <c r="B54" t="s">
        <v>147</v>
      </c>
      <c r="C54" s="3" t="s">
        <v>8</v>
      </c>
      <c r="D54" s="3" t="str">
        <f>"765731456719759230"</f>
        <v>765731456719759230</v>
      </c>
      <c r="E54" s="3" t="s">
        <v>38</v>
      </c>
      <c r="F54" s="9">
        <v>3000</v>
      </c>
      <c r="G54" s="3" t="s">
        <v>39</v>
      </c>
      <c r="H54" s="3" t="s">
        <v>39</v>
      </c>
      <c r="I54" s="3" t="s">
        <v>40</v>
      </c>
      <c r="J54" s="3" t="str">
        <f>"29/02/2016 09:54"</f>
        <v>29/02/2016 09:54</v>
      </c>
      <c r="K54" s="3" t="str">
        <f>"08064543666"</f>
        <v>08064543666</v>
      </c>
      <c r="L54" s="3" t="s">
        <v>243</v>
      </c>
      <c r="M54" s="3" t="s">
        <v>249</v>
      </c>
      <c r="N54" t="s">
        <v>148</v>
      </c>
      <c r="O54" t="s">
        <v>147</v>
      </c>
      <c r="P54" s="9">
        <v>1</v>
      </c>
      <c r="Q54" s="7">
        <v>3000</v>
      </c>
      <c r="R54" s="7">
        <v>2895</v>
      </c>
      <c r="S54" s="7">
        <v>105</v>
      </c>
      <c r="T54" s="11">
        <v>3.5000000000000003E-2</v>
      </c>
      <c r="U54" s="11">
        <v>0</v>
      </c>
      <c r="V54" s="11">
        <v>0</v>
      </c>
      <c r="W54" s="11">
        <v>0</v>
      </c>
      <c r="X54" s="3" t="s">
        <v>39</v>
      </c>
      <c r="Y54" s="5" t="s">
        <v>130</v>
      </c>
      <c r="Z54" s="3" t="s">
        <v>39</v>
      </c>
    </row>
    <row r="55" spans="1:26" x14ac:dyDescent="0.25">
      <c r="A55" t="s">
        <v>149</v>
      </c>
      <c r="B55" t="s">
        <v>147</v>
      </c>
      <c r="C55" s="3" t="s">
        <v>8</v>
      </c>
      <c r="D55" s="3" t="str">
        <f>"765731456719759230"</f>
        <v>765731456719759230</v>
      </c>
      <c r="E55" s="3" t="s">
        <v>38</v>
      </c>
      <c r="F55" s="9">
        <v>3000</v>
      </c>
      <c r="G55" s="3" t="s">
        <v>39</v>
      </c>
      <c r="H55" s="3" t="s">
        <v>39</v>
      </c>
      <c r="I55" s="3" t="s">
        <v>40</v>
      </c>
      <c r="J55" s="3" t="str">
        <f>"29/02/2016 09:54"</f>
        <v>29/02/2016 09:54</v>
      </c>
      <c r="K55" s="3" t="str">
        <f>"08064543666"</f>
        <v>08064543666</v>
      </c>
      <c r="L55" s="3" t="s">
        <v>245</v>
      </c>
      <c r="M55" s="3" t="s">
        <v>248</v>
      </c>
      <c r="N55" t="s">
        <v>148</v>
      </c>
      <c r="O55" t="s">
        <v>147</v>
      </c>
      <c r="P55" s="9">
        <v>1</v>
      </c>
      <c r="Q55" s="7">
        <v>3000</v>
      </c>
      <c r="R55" s="7">
        <v>2895</v>
      </c>
      <c r="S55" s="7">
        <v>105</v>
      </c>
      <c r="T55" s="11">
        <v>3.5000000000000003E-2</v>
      </c>
      <c r="U55" s="11">
        <v>0</v>
      </c>
      <c r="V55" s="11">
        <v>0</v>
      </c>
      <c r="W55" s="11">
        <v>0</v>
      </c>
      <c r="X55" s="3" t="s">
        <v>39</v>
      </c>
      <c r="Y55" s="5" t="s">
        <v>130</v>
      </c>
      <c r="Z55" s="3" t="s">
        <v>39</v>
      </c>
    </row>
    <row r="56" spans="1:26" x14ac:dyDescent="0.25">
      <c r="A56" t="s">
        <v>150</v>
      </c>
      <c r="B56" t="s">
        <v>147</v>
      </c>
      <c r="C56" s="3" t="s">
        <v>8</v>
      </c>
      <c r="D56" s="3" t="str">
        <f>"765731456719759230"</f>
        <v>765731456719759230</v>
      </c>
      <c r="E56" s="3" t="s">
        <v>38</v>
      </c>
      <c r="F56" s="9">
        <v>3000</v>
      </c>
      <c r="G56" s="3" t="s">
        <v>39</v>
      </c>
      <c r="H56" s="3" t="s">
        <v>39</v>
      </c>
      <c r="I56" s="3" t="s">
        <v>40</v>
      </c>
      <c r="J56" s="3" t="str">
        <f>"29/02/2016 09:54"</f>
        <v>29/02/2016 09:54</v>
      </c>
      <c r="K56" s="3" t="str">
        <f>"08064543666"</f>
        <v>08064543666</v>
      </c>
      <c r="L56" s="3" t="s">
        <v>243</v>
      </c>
      <c r="M56" s="3" t="s">
        <v>248</v>
      </c>
      <c r="N56" t="s">
        <v>148</v>
      </c>
      <c r="O56" t="s">
        <v>147</v>
      </c>
      <c r="P56" s="9">
        <v>1</v>
      </c>
      <c r="Q56" s="7">
        <v>3000</v>
      </c>
      <c r="R56" s="7">
        <v>2895</v>
      </c>
      <c r="S56" s="7">
        <v>105</v>
      </c>
      <c r="T56" s="11">
        <v>3.5000000000000003E-2</v>
      </c>
      <c r="U56" s="11">
        <v>0</v>
      </c>
      <c r="V56" s="11">
        <v>0</v>
      </c>
      <c r="W56" s="11">
        <v>0</v>
      </c>
      <c r="X56" s="3" t="s">
        <v>39</v>
      </c>
      <c r="Y56" s="5" t="s">
        <v>130</v>
      </c>
      <c r="Z56" s="3" t="s">
        <v>39</v>
      </c>
    </row>
    <row r="57" spans="1:26" x14ac:dyDescent="0.25">
      <c r="A57" t="s">
        <v>144</v>
      </c>
      <c r="B57" t="s">
        <v>145</v>
      </c>
      <c r="C57" s="3" t="s">
        <v>8</v>
      </c>
      <c r="D57" s="3" t="str">
        <f>"036161456721381894"</f>
        <v>036161456721381894</v>
      </c>
      <c r="E57" s="3" t="s">
        <v>38</v>
      </c>
      <c r="F57" s="9">
        <v>3000</v>
      </c>
      <c r="G57" s="3" t="s">
        <v>39</v>
      </c>
      <c r="H57" s="3" t="s">
        <v>39</v>
      </c>
      <c r="I57" s="3" t="s">
        <v>40</v>
      </c>
      <c r="J57" s="3" t="str">
        <f>"29/02/2016 10:21"</f>
        <v>29/02/2016 10:21</v>
      </c>
      <c r="K57" s="3" t="str">
        <f>"9148157248"</f>
        <v>9148157248</v>
      </c>
      <c r="L57" s="3" t="s">
        <v>39</v>
      </c>
      <c r="M57" s="3" t="s">
        <v>248</v>
      </c>
      <c r="N57" t="s">
        <v>144</v>
      </c>
      <c r="O57" t="s">
        <v>145</v>
      </c>
      <c r="P57" s="9">
        <v>1</v>
      </c>
      <c r="Q57" s="7">
        <v>3000</v>
      </c>
      <c r="R57" s="7">
        <v>2895</v>
      </c>
      <c r="S57" s="7">
        <v>105</v>
      </c>
      <c r="T57" s="11">
        <v>3.5000000000000003E-2</v>
      </c>
      <c r="U57" s="11">
        <v>0</v>
      </c>
      <c r="V57" s="11">
        <v>0</v>
      </c>
      <c r="W57" s="11">
        <v>0</v>
      </c>
      <c r="X57" s="3" t="s">
        <v>39</v>
      </c>
      <c r="Y57" s="5" t="s">
        <v>130</v>
      </c>
      <c r="Z57" s="3" t="s">
        <v>39</v>
      </c>
    </row>
    <row r="58" spans="1:26" x14ac:dyDescent="0.25">
      <c r="A58" t="s">
        <v>67</v>
      </c>
      <c r="B58" t="s">
        <v>68</v>
      </c>
      <c r="C58" s="3" t="s">
        <v>8</v>
      </c>
      <c r="D58" s="3" t="str">
        <f>"074661456726472774"</f>
        <v>074661456726472774</v>
      </c>
      <c r="E58" s="3" t="s">
        <v>38</v>
      </c>
      <c r="F58" s="9">
        <v>3000</v>
      </c>
      <c r="G58" s="3" t="s">
        <v>39</v>
      </c>
      <c r="H58" s="3" t="s">
        <v>39</v>
      </c>
      <c r="I58" s="3" t="s">
        <v>40</v>
      </c>
      <c r="J58" s="3" t="str">
        <f>"29/02/2016 11:44"</f>
        <v>29/02/2016 11:44</v>
      </c>
      <c r="K58" s="3" t="str">
        <f>"9945056409"</f>
        <v>9945056409</v>
      </c>
      <c r="L58" s="3" t="s">
        <v>243</v>
      </c>
      <c r="M58" s="3" t="s">
        <v>249</v>
      </c>
      <c r="N58" t="s">
        <v>67</v>
      </c>
      <c r="O58" t="s">
        <v>68</v>
      </c>
      <c r="P58" s="9">
        <v>1</v>
      </c>
      <c r="Q58" s="7">
        <v>3000</v>
      </c>
      <c r="R58" s="7">
        <v>2895</v>
      </c>
      <c r="S58" s="7">
        <v>105</v>
      </c>
      <c r="T58" s="11">
        <v>3.5000000000000003E-2</v>
      </c>
      <c r="U58" s="11">
        <v>0</v>
      </c>
      <c r="V58" s="11">
        <v>0</v>
      </c>
      <c r="W58" s="11">
        <v>0</v>
      </c>
      <c r="X58" s="3" t="s">
        <v>39</v>
      </c>
      <c r="Y58" s="5" t="s">
        <v>130</v>
      </c>
      <c r="Z58" s="3" t="s">
        <v>39</v>
      </c>
    </row>
    <row r="59" spans="1:26" x14ac:dyDescent="0.25">
      <c r="A59" t="s">
        <v>65</v>
      </c>
      <c r="B59" t="s">
        <v>66</v>
      </c>
      <c r="C59" s="3" t="s">
        <v>8</v>
      </c>
      <c r="D59" s="3" t="str">
        <f>"074661456726472774"</f>
        <v>074661456726472774</v>
      </c>
      <c r="E59" s="3" t="s">
        <v>38</v>
      </c>
      <c r="F59" s="9">
        <v>3000</v>
      </c>
      <c r="G59" s="3" t="s">
        <v>39</v>
      </c>
      <c r="H59" s="3" t="s">
        <v>39</v>
      </c>
      <c r="I59" s="3" t="s">
        <v>40</v>
      </c>
      <c r="J59" s="3" t="str">
        <f>"29/02/2016 11:44"</f>
        <v>29/02/2016 11:44</v>
      </c>
      <c r="K59" s="3" t="str">
        <f>"9226458011"</f>
        <v>9226458011</v>
      </c>
      <c r="L59" s="3" t="s">
        <v>243</v>
      </c>
      <c r="M59" s="3" t="s">
        <v>249</v>
      </c>
      <c r="N59" t="s">
        <v>67</v>
      </c>
      <c r="O59" t="s">
        <v>68</v>
      </c>
      <c r="P59" s="9">
        <v>1</v>
      </c>
      <c r="Q59" s="7">
        <v>3000</v>
      </c>
      <c r="R59" s="7">
        <v>2895</v>
      </c>
      <c r="S59" s="7">
        <v>105</v>
      </c>
      <c r="T59" s="11">
        <v>3.5000000000000003E-2</v>
      </c>
      <c r="U59" s="11">
        <v>0</v>
      </c>
      <c r="V59" s="11">
        <v>0</v>
      </c>
      <c r="W59" s="11">
        <v>0</v>
      </c>
      <c r="X59" s="3" t="s">
        <v>39</v>
      </c>
      <c r="Y59" s="5" t="s">
        <v>130</v>
      </c>
      <c r="Z59" s="3" t="s">
        <v>39</v>
      </c>
    </row>
    <row r="60" spans="1:26" x14ac:dyDescent="0.25">
      <c r="A60" t="s">
        <v>142</v>
      </c>
      <c r="B60" t="s">
        <v>143</v>
      </c>
      <c r="C60" s="3" t="s">
        <v>8</v>
      </c>
      <c r="D60" s="3" t="str">
        <f>"074661456726472774"</f>
        <v>074661456726472774</v>
      </c>
      <c r="E60" s="3" t="s">
        <v>38</v>
      </c>
      <c r="F60" s="9">
        <v>3000</v>
      </c>
      <c r="G60" s="3" t="s">
        <v>39</v>
      </c>
      <c r="H60" s="3" t="s">
        <v>39</v>
      </c>
      <c r="I60" s="3" t="s">
        <v>40</v>
      </c>
      <c r="J60" s="3" t="str">
        <f>"29/02/2016 11:44"</f>
        <v>29/02/2016 11:44</v>
      </c>
      <c r="K60" s="3" t="str">
        <f>"9022096197"</f>
        <v>9022096197</v>
      </c>
      <c r="L60" s="3" t="s">
        <v>244</v>
      </c>
      <c r="M60" s="3" t="s">
        <v>249</v>
      </c>
      <c r="N60" t="s">
        <v>67</v>
      </c>
      <c r="O60" t="s">
        <v>68</v>
      </c>
      <c r="P60" s="9">
        <v>1</v>
      </c>
      <c r="Q60" s="7">
        <v>3000</v>
      </c>
      <c r="R60" s="7">
        <v>2895</v>
      </c>
      <c r="S60" s="7">
        <v>105</v>
      </c>
      <c r="T60" s="11">
        <v>3.5000000000000003E-2</v>
      </c>
      <c r="U60" s="11">
        <v>0</v>
      </c>
      <c r="V60" s="11">
        <v>0</v>
      </c>
      <c r="W60" s="11">
        <v>0</v>
      </c>
      <c r="X60" s="3" t="s">
        <v>39</v>
      </c>
      <c r="Y60" s="5" t="s">
        <v>130</v>
      </c>
      <c r="Z60" s="3" t="s">
        <v>39</v>
      </c>
    </row>
    <row r="61" spans="1:26" x14ac:dyDescent="0.25">
      <c r="A61" t="s">
        <v>135</v>
      </c>
      <c r="B61" t="s">
        <v>136</v>
      </c>
      <c r="C61" s="3" t="s">
        <v>8</v>
      </c>
      <c r="D61" s="3" t="str">
        <f>"113751456727168469"</f>
        <v>113751456727168469</v>
      </c>
      <c r="E61" s="3" t="s">
        <v>38</v>
      </c>
      <c r="F61" s="9">
        <v>3000</v>
      </c>
      <c r="G61" s="3" t="s">
        <v>39</v>
      </c>
      <c r="H61" s="3" t="s">
        <v>39</v>
      </c>
      <c r="I61" s="3" t="s">
        <v>40</v>
      </c>
      <c r="J61" s="3" t="str">
        <f>"29/02/2016 11:59"</f>
        <v>29/02/2016 11:59</v>
      </c>
      <c r="K61" s="3" t="str">
        <f>"7829817181"</f>
        <v>7829817181</v>
      </c>
      <c r="L61" s="3" t="s">
        <v>244</v>
      </c>
      <c r="M61" s="3" t="s">
        <v>249</v>
      </c>
      <c r="N61" t="s">
        <v>137</v>
      </c>
      <c r="O61" t="s">
        <v>138</v>
      </c>
      <c r="P61" s="9">
        <v>1</v>
      </c>
      <c r="Q61" s="7">
        <v>3000</v>
      </c>
      <c r="R61" s="7">
        <v>2895</v>
      </c>
      <c r="S61" s="7">
        <v>105</v>
      </c>
      <c r="T61" s="11">
        <v>3.5000000000000003E-2</v>
      </c>
      <c r="U61" s="11">
        <v>0</v>
      </c>
      <c r="V61" s="11">
        <v>0</v>
      </c>
      <c r="W61" s="11">
        <v>0</v>
      </c>
      <c r="X61" s="3" t="s">
        <v>39</v>
      </c>
      <c r="Y61" s="5" t="s">
        <v>130</v>
      </c>
      <c r="Z61" s="3" t="s">
        <v>39</v>
      </c>
    </row>
    <row r="62" spans="1:26" x14ac:dyDescent="0.25">
      <c r="A62" t="s">
        <v>139</v>
      </c>
      <c r="B62" t="s">
        <v>73</v>
      </c>
      <c r="C62" s="3" t="s">
        <v>8</v>
      </c>
      <c r="D62" s="3" t="str">
        <f>"113751456727168469"</f>
        <v>113751456727168469</v>
      </c>
      <c r="E62" s="3" t="s">
        <v>38</v>
      </c>
      <c r="F62" s="9">
        <v>3000</v>
      </c>
      <c r="G62" s="3" t="s">
        <v>39</v>
      </c>
      <c r="H62" s="3" t="s">
        <v>39</v>
      </c>
      <c r="I62" s="3" t="s">
        <v>40</v>
      </c>
      <c r="J62" s="3" t="str">
        <f>"29/02/2016 11:59"</f>
        <v>29/02/2016 11:59</v>
      </c>
      <c r="K62" s="3" t="str">
        <f>"8088893700"</f>
        <v>8088893700</v>
      </c>
      <c r="L62" s="3" t="s">
        <v>244</v>
      </c>
      <c r="M62" s="3" t="s">
        <v>249</v>
      </c>
      <c r="N62" t="s">
        <v>137</v>
      </c>
      <c r="O62" t="s">
        <v>138</v>
      </c>
      <c r="P62" s="9">
        <v>1</v>
      </c>
      <c r="Q62" s="7">
        <v>3000</v>
      </c>
      <c r="R62" s="7">
        <v>2895</v>
      </c>
      <c r="S62" s="7">
        <v>105</v>
      </c>
      <c r="T62" s="11">
        <v>3.5000000000000003E-2</v>
      </c>
      <c r="U62" s="11">
        <v>0</v>
      </c>
      <c r="V62" s="11">
        <v>0</v>
      </c>
      <c r="W62" s="11">
        <v>0</v>
      </c>
      <c r="X62" s="3" t="s">
        <v>39</v>
      </c>
      <c r="Y62" s="5" t="s">
        <v>130</v>
      </c>
      <c r="Z62" s="3" t="s">
        <v>39</v>
      </c>
    </row>
    <row r="63" spans="1:26" x14ac:dyDescent="0.25">
      <c r="A63" t="s">
        <v>140</v>
      </c>
      <c r="B63" t="s">
        <v>141</v>
      </c>
      <c r="C63" s="3" t="s">
        <v>8</v>
      </c>
      <c r="D63" s="3" t="str">
        <f>"113751456727168469"</f>
        <v>113751456727168469</v>
      </c>
      <c r="E63" s="3" t="s">
        <v>38</v>
      </c>
      <c r="F63" s="9">
        <v>3000</v>
      </c>
      <c r="G63" s="3" t="s">
        <v>39</v>
      </c>
      <c r="H63" s="3" t="s">
        <v>39</v>
      </c>
      <c r="I63" s="3" t="s">
        <v>40</v>
      </c>
      <c r="J63" s="3" t="str">
        <f>"29/02/2016 11:59"</f>
        <v>29/02/2016 11:59</v>
      </c>
      <c r="K63" s="3" t="str">
        <f>"9481841818"</f>
        <v>9481841818</v>
      </c>
      <c r="L63" s="3" t="s">
        <v>245</v>
      </c>
      <c r="M63" s="3" t="s">
        <v>249</v>
      </c>
      <c r="N63" t="s">
        <v>137</v>
      </c>
      <c r="O63" t="s">
        <v>138</v>
      </c>
      <c r="P63" s="9">
        <v>1</v>
      </c>
      <c r="Q63" s="7">
        <v>3000</v>
      </c>
      <c r="R63" s="7">
        <v>2895</v>
      </c>
      <c r="S63" s="7">
        <v>105</v>
      </c>
      <c r="T63" s="11">
        <v>3.5000000000000003E-2</v>
      </c>
      <c r="U63" s="11">
        <v>0</v>
      </c>
      <c r="V63" s="11">
        <v>0</v>
      </c>
      <c r="W63" s="11">
        <v>0</v>
      </c>
      <c r="X63" s="3" t="s">
        <v>39</v>
      </c>
      <c r="Y63" s="5" t="s">
        <v>130</v>
      </c>
      <c r="Z63" s="3" t="s">
        <v>39</v>
      </c>
    </row>
    <row r="64" spans="1:26" x14ac:dyDescent="0.25">
      <c r="A64" t="s">
        <v>83</v>
      </c>
      <c r="B64" t="s">
        <v>134</v>
      </c>
      <c r="C64" s="3" t="s">
        <v>8</v>
      </c>
      <c r="D64" s="3" t="str">
        <f>"472561456727985135"</f>
        <v>472561456727985135</v>
      </c>
      <c r="E64" s="3" t="s">
        <v>38</v>
      </c>
      <c r="F64" s="9">
        <v>3000</v>
      </c>
      <c r="G64" s="3" t="s">
        <v>39</v>
      </c>
      <c r="H64" s="3" t="s">
        <v>39</v>
      </c>
      <c r="I64" s="3" t="s">
        <v>40</v>
      </c>
      <c r="J64" s="3" t="str">
        <f>"29/02/2016 12:09"</f>
        <v>29/02/2016 12:09</v>
      </c>
      <c r="K64" s="3" t="str">
        <f>"9900488400"</f>
        <v>9900488400</v>
      </c>
      <c r="L64" s="3" t="s">
        <v>244</v>
      </c>
      <c r="M64" s="3" t="s">
        <v>249</v>
      </c>
      <c r="N64" t="s">
        <v>83</v>
      </c>
      <c r="O64" t="s">
        <v>134</v>
      </c>
      <c r="P64" s="9">
        <v>1</v>
      </c>
      <c r="Q64" s="7">
        <v>3000</v>
      </c>
      <c r="R64" s="7">
        <v>2895</v>
      </c>
      <c r="S64" s="7">
        <v>105</v>
      </c>
      <c r="T64" s="11">
        <v>3.5000000000000003E-2</v>
      </c>
      <c r="U64" s="11">
        <v>0</v>
      </c>
      <c r="V64" s="11">
        <v>0</v>
      </c>
      <c r="W64" s="11">
        <v>0</v>
      </c>
      <c r="X64" s="3" t="s">
        <v>39</v>
      </c>
      <c r="Y64" s="5" t="s">
        <v>130</v>
      </c>
      <c r="Z64" s="3" t="s">
        <v>39</v>
      </c>
    </row>
    <row r="65" spans="1:26" x14ac:dyDescent="0.25">
      <c r="A65" t="s">
        <v>103</v>
      </c>
      <c r="B65" t="s">
        <v>104</v>
      </c>
      <c r="C65" s="3" t="s">
        <v>8</v>
      </c>
      <c r="D65" s="3" t="str">
        <f>"231641456728087885"</f>
        <v>231641456728087885</v>
      </c>
      <c r="E65" s="3" t="s">
        <v>38</v>
      </c>
      <c r="F65" s="9">
        <v>3000</v>
      </c>
      <c r="G65" s="3" t="s">
        <v>39</v>
      </c>
      <c r="H65" s="3" t="s">
        <v>39</v>
      </c>
      <c r="I65" s="3" t="s">
        <v>40</v>
      </c>
      <c r="J65" s="3" t="str">
        <f>"29/02/2016 12:12"</f>
        <v>29/02/2016 12:12</v>
      </c>
      <c r="K65" s="3" t="str">
        <f>"9611677003"</f>
        <v>9611677003</v>
      </c>
      <c r="L65" s="3" t="s">
        <v>39</v>
      </c>
      <c r="M65" s="3" t="s">
        <v>249</v>
      </c>
      <c r="N65" t="s">
        <v>103</v>
      </c>
      <c r="O65" t="s">
        <v>104</v>
      </c>
      <c r="P65" s="9">
        <v>1</v>
      </c>
      <c r="Q65" s="7">
        <v>3000</v>
      </c>
      <c r="R65" s="7">
        <v>2895</v>
      </c>
      <c r="S65" s="7">
        <v>105</v>
      </c>
      <c r="T65" s="11">
        <v>3.5000000000000003E-2</v>
      </c>
      <c r="U65" s="11">
        <v>0</v>
      </c>
      <c r="V65" s="11">
        <v>0</v>
      </c>
      <c r="W65" s="11">
        <v>0</v>
      </c>
      <c r="X65" s="3" t="s">
        <v>39</v>
      </c>
      <c r="Y65" s="5" t="s">
        <v>130</v>
      </c>
      <c r="Z65" s="3" t="s">
        <v>39</v>
      </c>
    </row>
    <row r="66" spans="1:26" x14ac:dyDescent="0.25">
      <c r="A66" t="s">
        <v>49</v>
      </c>
      <c r="B66" t="s">
        <v>50</v>
      </c>
      <c r="C66" s="3" t="s">
        <v>8</v>
      </c>
      <c r="D66" s="3" t="str">
        <f>"303551456728671970"</f>
        <v>303551456728671970</v>
      </c>
      <c r="E66" s="3" t="s">
        <v>38</v>
      </c>
      <c r="F66" s="9">
        <v>3000</v>
      </c>
      <c r="G66" s="3" t="s">
        <v>39</v>
      </c>
      <c r="H66" s="3" t="s">
        <v>39</v>
      </c>
      <c r="I66" s="3" t="s">
        <v>40</v>
      </c>
      <c r="J66" s="3" t="str">
        <f>"29/02/2016 12:22"</f>
        <v>29/02/2016 12:22</v>
      </c>
      <c r="K66" s="3" t="str">
        <f>"7760888890"</f>
        <v>7760888890</v>
      </c>
      <c r="L66" s="3" t="s">
        <v>243</v>
      </c>
      <c r="M66" s="3" t="s">
        <v>249</v>
      </c>
      <c r="N66" t="s">
        <v>49</v>
      </c>
      <c r="O66" t="s">
        <v>50</v>
      </c>
      <c r="P66" s="9">
        <v>1</v>
      </c>
      <c r="Q66" s="7">
        <v>3000</v>
      </c>
      <c r="R66" s="7">
        <v>2895</v>
      </c>
      <c r="S66" s="7">
        <v>105</v>
      </c>
      <c r="T66" s="11">
        <v>3.5000000000000003E-2</v>
      </c>
      <c r="U66" s="11">
        <v>0</v>
      </c>
      <c r="V66" s="11">
        <v>0</v>
      </c>
      <c r="W66" s="11">
        <v>0</v>
      </c>
      <c r="X66" s="3" t="s">
        <v>39</v>
      </c>
      <c r="Y66" s="5" t="s">
        <v>130</v>
      </c>
      <c r="Z66" s="3" t="s">
        <v>39</v>
      </c>
    </row>
    <row r="67" spans="1:26" x14ac:dyDescent="0.25">
      <c r="A67" t="s">
        <v>81</v>
      </c>
      <c r="B67" t="s">
        <v>82</v>
      </c>
      <c r="C67" s="3" t="s">
        <v>8</v>
      </c>
      <c r="D67" s="3" t="str">
        <f>"062521456728950394"</f>
        <v>062521456728950394</v>
      </c>
      <c r="E67" s="3" t="s">
        <v>38</v>
      </c>
      <c r="F67" s="9">
        <v>3000</v>
      </c>
      <c r="G67" s="3" t="s">
        <v>39</v>
      </c>
      <c r="H67" s="3" t="s">
        <v>39</v>
      </c>
      <c r="I67" s="3" t="s">
        <v>40</v>
      </c>
      <c r="J67" s="3" t="str">
        <f>"29/02/2016 12:25"</f>
        <v>29/02/2016 12:25</v>
      </c>
      <c r="K67" s="3" t="str">
        <f>"9880362182"</f>
        <v>9880362182</v>
      </c>
      <c r="L67" s="3" t="s">
        <v>243</v>
      </c>
      <c r="M67" s="3" t="s">
        <v>249</v>
      </c>
      <c r="N67" t="s">
        <v>81</v>
      </c>
      <c r="O67" t="s">
        <v>82</v>
      </c>
      <c r="P67" s="9">
        <v>1</v>
      </c>
      <c r="Q67" s="7">
        <v>3000</v>
      </c>
      <c r="R67" s="7">
        <v>2895</v>
      </c>
      <c r="S67" s="7">
        <v>105</v>
      </c>
      <c r="T67" s="11">
        <v>3.5000000000000003E-2</v>
      </c>
      <c r="U67" s="11">
        <v>0</v>
      </c>
      <c r="V67" s="11">
        <v>0</v>
      </c>
      <c r="W67" s="11">
        <v>0</v>
      </c>
      <c r="X67" s="3" t="s">
        <v>39</v>
      </c>
      <c r="Y67" s="5" t="s">
        <v>130</v>
      </c>
      <c r="Z67" s="3" t="s">
        <v>39</v>
      </c>
    </row>
    <row r="68" spans="1:26" x14ac:dyDescent="0.25">
      <c r="A68" t="s">
        <v>60</v>
      </c>
      <c r="B68" t="s">
        <v>133</v>
      </c>
      <c r="C68" s="3" t="s">
        <v>8</v>
      </c>
      <c r="D68" s="3" t="str">
        <f>"707071456729498117"</f>
        <v>707071456729498117</v>
      </c>
      <c r="E68" s="3" t="s">
        <v>38</v>
      </c>
      <c r="F68" s="9">
        <v>3000</v>
      </c>
      <c r="G68" s="3" t="s">
        <v>39</v>
      </c>
      <c r="H68" s="3" t="s">
        <v>39</v>
      </c>
      <c r="I68" s="3" t="s">
        <v>40</v>
      </c>
      <c r="J68" s="3" t="str">
        <f>"29/02/2016 12:36"</f>
        <v>29/02/2016 12:36</v>
      </c>
      <c r="K68" s="3" t="str">
        <f>"9025328198"</f>
        <v>9025328198</v>
      </c>
      <c r="L68" s="3" t="s">
        <v>244</v>
      </c>
      <c r="M68" s="3" t="s">
        <v>249</v>
      </c>
      <c r="N68" t="s">
        <v>60</v>
      </c>
      <c r="O68" t="s">
        <v>133</v>
      </c>
      <c r="P68" s="9">
        <v>1</v>
      </c>
      <c r="Q68" s="7">
        <v>3000</v>
      </c>
      <c r="R68" s="7">
        <v>2895</v>
      </c>
      <c r="S68" s="7">
        <v>105</v>
      </c>
      <c r="T68" s="11">
        <v>3.5000000000000003E-2</v>
      </c>
      <c r="U68" s="11">
        <v>0</v>
      </c>
      <c r="V68" s="11">
        <v>0</v>
      </c>
      <c r="W68" s="11">
        <v>0</v>
      </c>
      <c r="X68" s="3" t="s">
        <v>39</v>
      </c>
      <c r="Y68" s="5" t="s">
        <v>130</v>
      </c>
      <c r="Z68" s="3" t="s">
        <v>39</v>
      </c>
    </row>
    <row r="69" spans="1:26" x14ac:dyDescent="0.25">
      <c r="A69" t="s">
        <v>131</v>
      </c>
      <c r="B69" t="s">
        <v>132</v>
      </c>
      <c r="C69" s="3" t="s">
        <v>8</v>
      </c>
      <c r="D69" s="3" t="str">
        <f>"150051456734395292"</f>
        <v>150051456734395292</v>
      </c>
      <c r="E69" s="3" t="s">
        <v>38</v>
      </c>
      <c r="F69" s="9">
        <v>3000</v>
      </c>
      <c r="G69" s="3" t="s">
        <v>39</v>
      </c>
      <c r="H69" s="3" t="s">
        <v>39</v>
      </c>
      <c r="I69" s="3" t="s">
        <v>40</v>
      </c>
      <c r="J69" s="3" t="str">
        <f>"29/02/2016 13:58"</f>
        <v>29/02/2016 13:58</v>
      </c>
      <c r="K69" s="3" t="str">
        <f>"9986826399"</f>
        <v>9986826399</v>
      </c>
      <c r="L69" s="3" t="s">
        <v>243</v>
      </c>
      <c r="M69" s="3" t="s">
        <v>249</v>
      </c>
      <c r="N69" t="s">
        <v>131</v>
      </c>
      <c r="O69" t="s">
        <v>132</v>
      </c>
      <c r="P69" s="9">
        <v>1</v>
      </c>
      <c r="Q69" s="7">
        <v>3000</v>
      </c>
      <c r="R69" s="7">
        <v>2895</v>
      </c>
      <c r="S69" s="7">
        <v>105</v>
      </c>
      <c r="T69" s="11">
        <v>3.5000000000000003E-2</v>
      </c>
      <c r="U69" s="11">
        <v>0</v>
      </c>
      <c r="V69" s="11">
        <v>0</v>
      </c>
      <c r="W69" s="11">
        <v>0</v>
      </c>
      <c r="X69" s="3" t="s">
        <v>39</v>
      </c>
      <c r="Y69" s="5" t="s">
        <v>130</v>
      </c>
      <c r="Z69" s="3" t="s">
        <v>39</v>
      </c>
    </row>
    <row r="70" spans="1:26" x14ac:dyDescent="0.25">
      <c r="A70" t="s">
        <v>128</v>
      </c>
      <c r="B70" t="s">
        <v>129</v>
      </c>
      <c r="C70" s="3" t="s">
        <v>8</v>
      </c>
      <c r="D70" s="3" t="str">
        <f>"571341456735737624"</f>
        <v>571341456735737624</v>
      </c>
      <c r="E70" s="3" t="s">
        <v>38</v>
      </c>
      <c r="F70" s="9">
        <v>3000</v>
      </c>
      <c r="G70" s="3" t="s">
        <v>39</v>
      </c>
      <c r="H70" s="3" t="s">
        <v>39</v>
      </c>
      <c r="I70" s="3" t="s">
        <v>40</v>
      </c>
      <c r="J70" s="3" t="str">
        <f>"29/02/2016 14:21"</f>
        <v>29/02/2016 14:21</v>
      </c>
      <c r="K70" s="3" t="str">
        <f>"8197072039"</f>
        <v>8197072039</v>
      </c>
      <c r="L70" s="3" t="s">
        <v>243</v>
      </c>
      <c r="M70" s="3" t="s">
        <v>248</v>
      </c>
      <c r="N70" t="s">
        <v>128</v>
      </c>
      <c r="O70" t="s">
        <v>129</v>
      </c>
      <c r="P70" s="9">
        <v>1</v>
      </c>
      <c r="Q70" s="7">
        <v>3000</v>
      </c>
      <c r="R70" s="7">
        <v>2895</v>
      </c>
      <c r="S70" s="7">
        <v>105</v>
      </c>
      <c r="T70" s="11">
        <v>3.5000000000000003E-2</v>
      </c>
      <c r="U70" s="11">
        <v>0</v>
      </c>
      <c r="V70" s="11">
        <v>0</v>
      </c>
      <c r="W70" s="11">
        <v>0</v>
      </c>
      <c r="X70" s="3" t="s">
        <v>39</v>
      </c>
      <c r="Y70" s="5" t="s">
        <v>130</v>
      </c>
      <c r="Z70" s="3" t="s">
        <v>39</v>
      </c>
    </row>
    <row r="71" spans="1:26" x14ac:dyDescent="0.25">
      <c r="A71" t="s">
        <v>103</v>
      </c>
      <c r="B71" t="s">
        <v>104</v>
      </c>
      <c r="C71" s="48" t="s">
        <v>8</v>
      </c>
      <c r="D71" s="3" t="str">
        <f>"137031456727327952"</f>
        <v>137031456727327952</v>
      </c>
      <c r="E71" s="3" t="s">
        <v>38</v>
      </c>
      <c r="F71" s="9">
        <v>3000</v>
      </c>
      <c r="G71" s="3" t="s">
        <v>39</v>
      </c>
      <c r="H71" s="3" t="s">
        <v>39</v>
      </c>
      <c r="I71" s="3" t="s">
        <v>40</v>
      </c>
      <c r="J71" s="3" t="str">
        <f>"01/03/2016 12:45"</f>
        <v>01/03/2016 12:45</v>
      </c>
      <c r="K71" s="3" t="str">
        <f>"9611677003"</f>
        <v>9611677003</v>
      </c>
      <c r="L71" s="3" t="s">
        <v>243</v>
      </c>
      <c r="M71" s="3" t="s">
        <v>249</v>
      </c>
      <c r="N71" t="s">
        <v>103</v>
      </c>
      <c r="O71" t="s">
        <v>104</v>
      </c>
      <c r="P71" s="9">
        <v>1</v>
      </c>
      <c r="Q71" s="7">
        <v>3000</v>
      </c>
      <c r="R71" s="7">
        <v>2895</v>
      </c>
      <c r="S71" s="7">
        <v>105</v>
      </c>
      <c r="T71" s="11">
        <v>3.5000000000000003E-2</v>
      </c>
      <c r="U71" s="11">
        <v>0</v>
      </c>
      <c r="V71" s="11">
        <v>0</v>
      </c>
      <c r="W71" s="11">
        <v>0</v>
      </c>
      <c r="X71" s="3" t="s">
        <v>39</v>
      </c>
      <c r="Y71" s="5" t="s">
        <v>105</v>
      </c>
      <c r="Z71" s="3" t="s">
        <v>39</v>
      </c>
    </row>
    <row r="72" spans="1:26" x14ac:dyDescent="0.25">
      <c r="A72" t="s">
        <v>106</v>
      </c>
      <c r="B72" t="s">
        <v>107</v>
      </c>
      <c r="C72" s="48" t="s">
        <v>12</v>
      </c>
      <c r="D72" s="3" t="str">
        <f>"674111456816040169"</f>
        <v>674111456816040169</v>
      </c>
      <c r="E72" s="3" t="s">
        <v>38</v>
      </c>
      <c r="F72" s="9">
        <v>4500</v>
      </c>
      <c r="G72" s="3" t="s">
        <v>39</v>
      </c>
      <c r="H72" s="3" t="s">
        <v>39</v>
      </c>
      <c r="I72" s="3" t="s">
        <v>40</v>
      </c>
      <c r="J72" s="3" t="str">
        <f>"01/03/2016 12:39"</f>
        <v>01/03/2016 12:39</v>
      </c>
      <c r="K72" s="3" t="str">
        <f>"09650828240"</f>
        <v>09650828240</v>
      </c>
      <c r="L72" s="3" t="s">
        <v>243</v>
      </c>
      <c r="M72" s="3" t="s">
        <v>249</v>
      </c>
      <c r="N72" t="s">
        <v>106</v>
      </c>
      <c r="O72" t="s">
        <v>107</v>
      </c>
      <c r="P72" s="9">
        <v>1</v>
      </c>
      <c r="Q72" s="7">
        <v>4500</v>
      </c>
      <c r="R72" s="7">
        <v>4342.5</v>
      </c>
      <c r="S72" s="7">
        <v>157.5</v>
      </c>
      <c r="T72" s="11">
        <v>3.5000000000000003E-2</v>
      </c>
      <c r="U72" s="11">
        <v>0</v>
      </c>
      <c r="V72" s="11">
        <v>0</v>
      </c>
      <c r="W72" s="11">
        <v>0</v>
      </c>
      <c r="X72" s="3" t="s">
        <v>39</v>
      </c>
      <c r="Y72" s="5" t="s">
        <v>105</v>
      </c>
      <c r="Z72" s="3" t="s">
        <v>39</v>
      </c>
    </row>
    <row r="73" spans="1:26" x14ac:dyDescent="0.25">
      <c r="A73" t="s">
        <v>55</v>
      </c>
      <c r="B73" t="s">
        <v>56</v>
      </c>
      <c r="C73" s="48" t="s">
        <v>8</v>
      </c>
      <c r="D73" s="3" t="str">
        <f>"752651456728477099"</f>
        <v>752651456728477099</v>
      </c>
      <c r="E73" s="3" t="s">
        <v>38</v>
      </c>
      <c r="F73" s="9">
        <v>3000</v>
      </c>
      <c r="G73" s="3" t="s">
        <v>39</v>
      </c>
      <c r="H73" s="3" t="s">
        <v>39</v>
      </c>
      <c r="I73" s="3" t="s">
        <v>40</v>
      </c>
      <c r="J73" s="3" t="str">
        <f>"01/03/2016 11:15"</f>
        <v>01/03/2016 11:15</v>
      </c>
      <c r="K73" s="3" t="str">
        <f>"9751296321"</f>
        <v>9751296321</v>
      </c>
      <c r="L73" s="3" t="s">
        <v>245</v>
      </c>
      <c r="M73" s="3" t="s">
        <v>248</v>
      </c>
      <c r="N73" t="s">
        <v>55</v>
      </c>
      <c r="O73" t="s">
        <v>56</v>
      </c>
      <c r="P73" s="9">
        <v>1</v>
      </c>
      <c r="Q73" s="7">
        <v>3000</v>
      </c>
      <c r="R73" s="7">
        <v>2895</v>
      </c>
      <c r="S73" s="7">
        <v>105</v>
      </c>
      <c r="T73" s="11">
        <v>3.5000000000000003E-2</v>
      </c>
      <c r="U73" s="11">
        <v>0</v>
      </c>
      <c r="V73" s="11">
        <v>0</v>
      </c>
      <c r="W73" s="11">
        <v>0</v>
      </c>
      <c r="X73" s="3" t="s">
        <v>39</v>
      </c>
      <c r="Y73" s="5" t="s">
        <v>105</v>
      </c>
      <c r="Z73" s="3" t="s">
        <v>39</v>
      </c>
    </row>
    <row r="74" spans="1:26" x14ac:dyDescent="0.25">
      <c r="A74" t="s">
        <v>108</v>
      </c>
      <c r="B74" t="s">
        <v>109</v>
      </c>
      <c r="C74" s="48" t="s">
        <v>8</v>
      </c>
      <c r="D74" s="3" t="str">
        <f>"157561456755947229"</f>
        <v>157561456755947229</v>
      </c>
      <c r="E74" s="3" t="s">
        <v>38</v>
      </c>
      <c r="F74" s="9">
        <v>3000</v>
      </c>
      <c r="G74" s="3" t="s">
        <v>39</v>
      </c>
      <c r="H74" s="3" t="s">
        <v>39</v>
      </c>
      <c r="I74" s="3" t="s">
        <v>40</v>
      </c>
      <c r="J74" s="3" t="str">
        <f>"29/02/2016 19:57"</f>
        <v>29/02/2016 19:57</v>
      </c>
      <c r="K74" s="3" t="str">
        <f>"7899977469"</f>
        <v>7899977469</v>
      </c>
      <c r="L74" s="3" t="s">
        <v>244</v>
      </c>
      <c r="M74" s="3" t="s">
        <v>249</v>
      </c>
      <c r="N74" t="s">
        <v>108</v>
      </c>
      <c r="O74" t="s">
        <v>109</v>
      </c>
      <c r="P74" s="9">
        <v>1</v>
      </c>
      <c r="Q74" s="7">
        <v>3000</v>
      </c>
      <c r="R74" s="7">
        <v>2895</v>
      </c>
      <c r="S74" s="7">
        <v>105</v>
      </c>
      <c r="T74" s="11">
        <v>3.5000000000000003E-2</v>
      </c>
      <c r="U74" s="11">
        <v>0</v>
      </c>
      <c r="V74" s="11">
        <v>0</v>
      </c>
      <c r="W74" s="11">
        <v>0</v>
      </c>
      <c r="X74" s="3" t="s">
        <v>39</v>
      </c>
      <c r="Y74" s="5" t="s">
        <v>105</v>
      </c>
      <c r="Z74" s="3" t="s">
        <v>39</v>
      </c>
    </row>
    <row r="75" spans="1:26" x14ac:dyDescent="0.25">
      <c r="A75" t="s">
        <v>110</v>
      </c>
      <c r="B75" t="s">
        <v>111</v>
      </c>
      <c r="C75" s="48" t="s">
        <v>8</v>
      </c>
      <c r="D75" s="3" t="str">
        <f>"157561456755947229"</f>
        <v>157561456755947229</v>
      </c>
      <c r="E75" s="3" t="s">
        <v>38</v>
      </c>
      <c r="F75" s="9">
        <v>3000</v>
      </c>
      <c r="G75" s="3" t="s">
        <v>39</v>
      </c>
      <c r="H75" s="3" t="s">
        <v>39</v>
      </c>
      <c r="I75" s="3" t="s">
        <v>40</v>
      </c>
      <c r="J75" s="3" t="str">
        <f>"29/02/2016 19:57"</f>
        <v>29/02/2016 19:57</v>
      </c>
      <c r="K75" s="3" t="str">
        <f>"9742697470"</f>
        <v>9742697470</v>
      </c>
      <c r="L75" s="3" t="s">
        <v>245</v>
      </c>
      <c r="M75" s="3" t="s">
        <v>248</v>
      </c>
      <c r="N75" t="s">
        <v>108</v>
      </c>
      <c r="O75" t="s">
        <v>109</v>
      </c>
      <c r="P75" s="9">
        <v>1</v>
      </c>
      <c r="Q75" s="7">
        <v>3000</v>
      </c>
      <c r="R75" s="7">
        <v>2895</v>
      </c>
      <c r="S75" s="7">
        <v>105</v>
      </c>
      <c r="T75" s="11">
        <v>3.5000000000000003E-2</v>
      </c>
      <c r="U75" s="11">
        <v>0</v>
      </c>
      <c r="V75" s="11">
        <v>0</v>
      </c>
      <c r="W75" s="11">
        <v>0</v>
      </c>
      <c r="X75" s="3" t="s">
        <v>39</v>
      </c>
      <c r="Y75" s="5" t="s">
        <v>105</v>
      </c>
      <c r="Z75" s="3" t="s">
        <v>39</v>
      </c>
    </row>
    <row r="76" spans="1:26" x14ac:dyDescent="0.25">
      <c r="A76" t="s">
        <v>112</v>
      </c>
      <c r="B76" t="s">
        <v>113</v>
      </c>
      <c r="C76" s="48" t="s">
        <v>8</v>
      </c>
      <c r="D76" s="3" t="str">
        <f>"454771456749574732"</f>
        <v>454771456749574732</v>
      </c>
      <c r="E76" s="3" t="s">
        <v>38</v>
      </c>
      <c r="F76" s="9">
        <v>3000</v>
      </c>
      <c r="G76" s="3" t="s">
        <v>39</v>
      </c>
      <c r="H76" s="3" t="s">
        <v>39</v>
      </c>
      <c r="I76" s="3" t="s">
        <v>40</v>
      </c>
      <c r="J76" s="3" t="str">
        <f>"29/02/2016 18:10"</f>
        <v>29/02/2016 18:10</v>
      </c>
      <c r="K76" s="3" t="str">
        <f>"9663376035"</f>
        <v>9663376035</v>
      </c>
      <c r="L76" s="3" t="s">
        <v>39</v>
      </c>
      <c r="M76" s="3" t="s">
        <v>249</v>
      </c>
      <c r="N76" t="s">
        <v>114</v>
      </c>
      <c r="O76" t="s">
        <v>115</v>
      </c>
      <c r="P76" s="9">
        <v>1</v>
      </c>
      <c r="Q76" s="7">
        <v>3000</v>
      </c>
      <c r="R76" s="7">
        <v>2895</v>
      </c>
      <c r="S76" s="7">
        <v>105</v>
      </c>
      <c r="T76" s="11">
        <v>3.5000000000000003E-2</v>
      </c>
      <c r="U76" s="11">
        <v>0</v>
      </c>
      <c r="V76" s="11">
        <v>0</v>
      </c>
      <c r="W76" s="11">
        <v>0</v>
      </c>
      <c r="X76" s="3" t="s">
        <v>39</v>
      </c>
      <c r="Y76" s="5" t="s">
        <v>105</v>
      </c>
      <c r="Z76" s="3" t="s">
        <v>39</v>
      </c>
    </row>
    <row r="77" spans="1:26" x14ac:dyDescent="0.25">
      <c r="A77" t="s">
        <v>116</v>
      </c>
      <c r="B77" t="s">
        <v>117</v>
      </c>
      <c r="C77" s="48" t="s">
        <v>8</v>
      </c>
      <c r="D77" s="3" t="str">
        <f>"447571456749375316"</f>
        <v>447571456749375316</v>
      </c>
      <c r="E77" s="3" t="s">
        <v>38</v>
      </c>
      <c r="F77" s="9">
        <v>3000</v>
      </c>
      <c r="G77" s="3" t="s">
        <v>39</v>
      </c>
      <c r="H77" s="3" t="s">
        <v>39</v>
      </c>
      <c r="I77" s="3" t="s">
        <v>40</v>
      </c>
      <c r="J77" s="3" t="str">
        <f>"29/02/2016 18:07"</f>
        <v>29/02/2016 18:07</v>
      </c>
      <c r="K77" s="3" t="str">
        <f>"+91 966 381 5965"</f>
        <v>+91 966 381 5965</v>
      </c>
      <c r="L77" s="3" t="s">
        <v>39</v>
      </c>
      <c r="M77" s="3" t="s">
        <v>249</v>
      </c>
      <c r="N77" t="s">
        <v>118</v>
      </c>
      <c r="O77" t="s">
        <v>115</v>
      </c>
      <c r="P77" s="9">
        <v>1</v>
      </c>
      <c r="Q77" s="7">
        <v>3000</v>
      </c>
      <c r="R77" s="7">
        <v>2895</v>
      </c>
      <c r="S77" s="7">
        <v>105</v>
      </c>
      <c r="T77" s="11">
        <v>3.5000000000000003E-2</v>
      </c>
      <c r="U77" s="11">
        <v>0</v>
      </c>
      <c r="V77" s="11">
        <v>0</v>
      </c>
      <c r="W77" s="11">
        <v>0</v>
      </c>
      <c r="X77" s="3" t="s">
        <v>39</v>
      </c>
      <c r="Y77" s="5" t="s">
        <v>105</v>
      </c>
      <c r="Z77" s="3" t="s">
        <v>39</v>
      </c>
    </row>
    <row r="78" spans="1:26" x14ac:dyDescent="0.25">
      <c r="A78" t="s">
        <v>119</v>
      </c>
      <c r="B78" t="s">
        <v>120</v>
      </c>
      <c r="C78" s="48" t="s">
        <v>8</v>
      </c>
      <c r="D78" s="3" t="str">
        <f>"447571456749375316"</f>
        <v>447571456749375316</v>
      </c>
      <c r="E78" s="3" t="s">
        <v>38</v>
      </c>
      <c r="F78" s="9">
        <v>3000</v>
      </c>
      <c r="G78" s="3" t="s">
        <v>39</v>
      </c>
      <c r="H78" s="3" t="s">
        <v>39</v>
      </c>
      <c r="I78" s="3" t="s">
        <v>40</v>
      </c>
      <c r="J78" s="3" t="str">
        <f>"29/02/2016 18:07"</f>
        <v>29/02/2016 18:07</v>
      </c>
      <c r="K78" s="3" t="str">
        <f>"9972813825"</f>
        <v>9972813825</v>
      </c>
      <c r="L78" s="3" t="s">
        <v>39</v>
      </c>
      <c r="M78" s="3" t="s">
        <v>249</v>
      </c>
      <c r="N78" t="s">
        <v>118</v>
      </c>
      <c r="O78" t="s">
        <v>115</v>
      </c>
      <c r="P78" s="9">
        <v>1</v>
      </c>
      <c r="Q78" s="7">
        <v>3000</v>
      </c>
      <c r="R78" s="7">
        <v>2895</v>
      </c>
      <c r="S78" s="7">
        <v>105</v>
      </c>
      <c r="T78" s="11">
        <v>3.5000000000000003E-2</v>
      </c>
      <c r="U78" s="11">
        <v>0</v>
      </c>
      <c r="V78" s="11">
        <v>0</v>
      </c>
      <c r="W78" s="11">
        <v>0</v>
      </c>
      <c r="X78" s="3" t="s">
        <v>39</v>
      </c>
      <c r="Y78" s="5" t="s">
        <v>105</v>
      </c>
      <c r="Z78" s="3" t="s">
        <v>39</v>
      </c>
    </row>
    <row r="79" spans="1:26" x14ac:dyDescent="0.25">
      <c r="A79" t="s">
        <v>121</v>
      </c>
      <c r="B79" t="s">
        <v>122</v>
      </c>
      <c r="C79" s="48" t="s">
        <v>8</v>
      </c>
      <c r="D79" s="3" t="str">
        <f>"447571456749375316"</f>
        <v>447571456749375316</v>
      </c>
      <c r="E79" s="3" t="s">
        <v>38</v>
      </c>
      <c r="F79" s="9">
        <v>3000</v>
      </c>
      <c r="G79" s="3" t="s">
        <v>39</v>
      </c>
      <c r="H79" s="3" t="s">
        <v>39</v>
      </c>
      <c r="I79" s="3" t="s">
        <v>40</v>
      </c>
      <c r="J79" s="3" t="str">
        <f>"29/02/2016 18:07"</f>
        <v>29/02/2016 18:07</v>
      </c>
      <c r="K79" s="3" t="str">
        <f>"7709584604"</f>
        <v>7709584604</v>
      </c>
      <c r="L79" s="3" t="s">
        <v>39</v>
      </c>
      <c r="M79" s="3" t="s">
        <v>249</v>
      </c>
      <c r="N79" t="s">
        <v>118</v>
      </c>
      <c r="O79" t="s">
        <v>115</v>
      </c>
      <c r="P79" s="9">
        <v>1</v>
      </c>
      <c r="Q79" s="7">
        <v>3000</v>
      </c>
      <c r="R79" s="7">
        <v>2895</v>
      </c>
      <c r="S79" s="7">
        <v>105</v>
      </c>
      <c r="T79" s="11">
        <v>3.5000000000000003E-2</v>
      </c>
      <c r="U79" s="11">
        <v>0</v>
      </c>
      <c r="V79" s="11">
        <v>0</v>
      </c>
      <c r="W79" s="11">
        <v>0</v>
      </c>
      <c r="X79" s="3" t="s">
        <v>39</v>
      </c>
      <c r="Y79" s="5" t="s">
        <v>105</v>
      </c>
      <c r="Z79" s="3" t="s">
        <v>39</v>
      </c>
    </row>
    <row r="80" spans="1:26" x14ac:dyDescent="0.25">
      <c r="A80" t="s">
        <v>123</v>
      </c>
      <c r="B80" t="s">
        <v>79</v>
      </c>
      <c r="C80" s="48" t="s">
        <v>8</v>
      </c>
      <c r="D80" s="3" t="str">
        <f>"444601456746702828"</f>
        <v>444601456746702828</v>
      </c>
      <c r="E80" s="3" t="s">
        <v>38</v>
      </c>
      <c r="F80" s="9">
        <v>3000</v>
      </c>
      <c r="G80" s="3" t="s">
        <v>39</v>
      </c>
      <c r="H80" s="3" t="s">
        <v>39</v>
      </c>
      <c r="I80" s="3" t="s">
        <v>40</v>
      </c>
      <c r="J80" s="3" t="str">
        <f>"29/02/2016 17:24"</f>
        <v>29/02/2016 17:24</v>
      </c>
      <c r="K80" s="3" t="str">
        <f>"9740290601"</f>
        <v>9740290601</v>
      </c>
      <c r="L80" s="3" t="s">
        <v>244</v>
      </c>
      <c r="M80" s="3" t="s">
        <v>249</v>
      </c>
      <c r="N80" t="s">
        <v>123</v>
      </c>
      <c r="O80" t="s">
        <v>79</v>
      </c>
      <c r="P80" s="9">
        <v>1</v>
      </c>
      <c r="Q80" s="7">
        <v>3000</v>
      </c>
      <c r="R80" s="7">
        <v>2895</v>
      </c>
      <c r="S80" s="7">
        <v>105</v>
      </c>
      <c r="T80" s="11">
        <v>3.5000000000000003E-2</v>
      </c>
      <c r="U80" s="11">
        <v>0</v>
      </c>
      <c r="V80" s="11">
        <v>0</v>
      </c>
      <c r="W80" s="11">
        <v>0</v>
      </c>
      <c r="X80" s="3" t="s">
        <v>39</v>
      </c>
      <c r="Y80" s="5" t="s">
        <v>105</v>
      </c>
      <c r="Z80" s="3" t="s">
        <v>39</v>
      </c>
    </row>
    <row r="81" spans="1:26" x14ac:dyDescent="0.25">
      <c r="A81" t="s">
        <v>124</v>
      </c>
      <c r="B81" t="s">
        <v>125</v>
      </c>
      <c r="C81" s="48" t="s">
        <v>8</v>
      </c>
      <c r="D81" s="3" t="str">
        <f>"152631456738326906"</f>
        <v>152631456738326906</v>
      </c>
      <c r="E81" s="3" t="s">
        <v>38</v>
      </c>
      <c r="F81" s="9">
        <v>3000</v>
      </c>
      <c r="G81" s="3" t="s">
        <v>39</v>
      </c>
      <c r="H81" s="3" t="s">
        <v>39</v>
      </c>
      <c r="I81" s="3" t="s">
        <v>40</v>
      </c>
      <c r="J81" s="3" t="str">
        <f>"29/02/2016 15:05"</f>
        <v>29/02/2016 15:05</v>
      </c>
      <c r="K81" s="3" t="str">
        <f>"8147859155"</f>
        <v>8147859155</v>
      </c>
      <c r="L81" s="3" t="s">
        <v>244</v>
      </c>
      <c r="M81" s="3" t="s">
        <v>249</v>
      </c>
      <c r="N81" t="s">
        <v>124</v>
      </c>
      <c r="O81" t="s">
        <v>125</v>
      </c>
      <c r="P81" s="9">
        <v>1</v>
      </c>
      <c r="Q81" s="7">
        <v>3000</v>
      </c>
      <c r="R81" s="7">
        <v>2895</v>
      </c>
      <c r="S81" s="7">
        <v>105</v>
      </c>
      <c r="T81" s="11">
        <v>3.5000000000000003E-2</v>
      </c>
      <c r="U81" s="11">
        <v>0</v>
      </c>
      <c r="V81" s="11">
        <v>0</v>
      </c>
      <c r="W81" s="11">
        <v>0</v>
      </c>
      <c r="X81" s="3" t="s">
        <v>39</v>
      </c>
      <c r="Y81" s="5" t="s">
        <v>105</v>
      </c>
      <c r="Z81" s="3" t="s">
        <v>39</v>
      </c>
    </row>
    <row r="82" spans="1:26" x14ac:dyDescent="0.25">
      <c r="A82" t="s">
        <v>126</v>
      </c>
      <c r="B82" t="s">
        <v>127</v>
      </c>
      <c r="C82" s="48" t="s">
        <v>8</v>
      </c>
      <c r="D82" s="3" t="str">
        <f>"045561456738447631"</f>
        <v>045561456738447631</v>
      </c>
      <c r="E82" s="3" t="s">
        <v>38</v>
      </c>
      <c r="F82" s="9">
        <v>3000</v>
      </c>
      <c r="G82" s="3" t="s">
        <v>39</v>
      </c>
      <c r="H82" s="3" t="s">
        <v>39</v>
      </c>
      <c r="I82" s="3" t="s">
        <v>40</v>
      </c>
      <c r="J82" s="3" t="str">
        <f>"29/02/2016 15:05"</f>
        <v>29/02/2016 15:05</v>
      </c>
      <c r="K82" s="3" t="str">
        <f>"8050898088"</f>
        <v>8050898088</v>
      </c>
      <c r="L82" s="3" t="s">
        <v>243</v>
      </c>
      <c r="M82" s="3" t="s">
        <v>249</v>
      </c>
      <c r="N82" t="s">
        <v>126</v>
      </c>
      <c r="O82" t="s">
        <v>127</v>
      </c>
      <c r="P82" s="9">
        <v>1</v>
      </c>
      <c r="Q82" s="7">
        <v>3000</v>
      </c>
      <c r="R82" s="7">
        <v>2895</v>
      </c>
      <c r="S82" s="7">
        <v>105</v>
      </c>
      <c r="T82" s="11">
        <v>3.5000000000000003E-2</v>
      </c>
      <c r="U82" s="11">
        <v>0</v>
      </c>
      <c r="V82" s="11">
        <v>0</v>
      </c>
      <c r="W82" s="11">
        <v>0</v>
      </c>
      <c r="X82" s="3" t="s">
        <v>39</v>
      </c>
      <c r="Y82" s="5" t="s">
        <v>105</v>
      </c>
      <c r="Z82" s="3" t="s">
        <v>39</v>
      </c>
    </row>
    <row r="83" spans="1:26" x14ac:dyDescent="0.25">
      <c r="A83" t="s">
        <v>74</v>
      </c>
      <c r="B83" t="s">
        <v>75</v>
      </c>
      <c r="C83" s="48" t="s">
        <v>8</v>
      </c>
      <c r="D83" s="3" t="str">
        <f>"166311456736622944"</f>
        <v>166311456736622944</v>
      </c>
      <c r="E83" s="3" t="s">
        <v>38</v>
      </c>
      <c r="F83" s="9">
        <v>3000</v>
      </c>
      <c r="G83" s="3" t="s">
        <v>39</v>
      </c>
      <c r="H83" s="3" t="s">
        <v>39</v>
      </c>
      <c r="I83" s="3" t="s">
        <v>40</v>
      </c>
      <c r="J83" s="3" t="str">
        <f>"29/02/2016 14:39"</f>
        <v>29/02/2016 14:39</v>
      </c>
      <c r="K83" s="3" t="str">
        <f>"9886439405"</f>
        <v>9886439405</v>
      </c>
      <c r="L83" s="3" t="s">
        <v>244</v>
      </c>
      <c r="M83" s="3" t="s">
        <v>248</v>
      </c>
      <c r="N83" t="s">
        <v>74</v>
      </c>
      <c r="O83" t="s">
        <v>75</v>
      </c>
      <c r="P83" s="9">
        <v>1</v>
      </c>
      <c r="Q83" s="7">
        <v>3000</v>
      </c>
      <c r="R83" s="7">
        <v>2895</v>
      </c>
      <c r="S83" s="7">
        <v>105</v>
      </c>
      <c r="T83" s="11">
        <v>3.5000000000000003E-2</v>
      </c>
      <c r="U83" s="11">
        <v>0</v>
      </c>
      <c r="V83" s="11">
        <v>0</v>
      </c>
      <c r="W83" s="11">
        <v>0</v>
      </c>
      <c r="X83" s="3" t="s">
        <v>39</v>
      </c>
      <c r="Y83" s="5" t="s">
        <v>105</v>
      </c>
      <c r="Z83" s="3" t="s">
        <v>39</v>
      </c>
    </row>
    <row r="84" spans="1:26" x14ac:dyDescent="0.25">
      <c r="A84" t="s">
        <v>258</v>
      </c>
      <c r="B84" t="s">
        <v>259</v>
      </c>
      <c r="C84" s="48" t="s">
        <v>12</v>
      </c>
      <c r="D84" s="3" t="str">
        <f>"341211457339898140"</f>
        <v>341211457339898140</v>
      </c>
      <c r="E84" s="3" t="s">
        <v>38</v>
      </c>
      <c r="F84" s="9">
        <v>3600</v>
      </c>
      <c r="G84" s="3" t="s">
        <v>260</v>
      </c>
      <c r="H84" s="3" t="s">
        <v>261</v>
      </c>
      <c r="I84" s="3" t="s">
        <v>40</v>
      </c>
      <c r="J84" s="3" t="str">
        <f>"07/03/2016 14:09"</f>
        <v>07/03/2016 14:09</v>
      </c>
      <c r="K84" s="3" t="str">
        <f>"9867018926"</f>
        <v>9867018926</v>
      </c>
      <c r="L84" s="3" t="s">
        <v>39</v>
      </c>
      <c r="M84" s="3" t="str">
        <f t="shared" ref="M84:M92" si="0">"Male"</f>
        <v>Male</v>
      </c>
      <c r="N84" t="s">
        <v>258</v>
      </c>
      <c r="O84" t="s">
        <v>259</v>
      </c>
      <c r="P84" s="9">
        <v>1</v>
      </c>
      <c r="Q84" s="7">
        <v>3600</v>
      </c>
      <c r="R84" s="7">
        <v>3474</v>
      </c>
      <c r="S84" s="7">
        <v>126</v>
      </c>
      <c r="T84" s="11">
        <v>3.5000000000000003E-2</v>
      </c>
      <c r="U84" s="11">
        <v>0</v>
      </c>
      <c r="V84" s="11">
        <v>0</v>
      </c>
      <c r="W84" s="11">
        <v>0</v>
      </c>
      <c r="X84" s="3" t="s">
        <v>39</v>
      </c>
      <c r="Y84" s="3" t="s">
        <v>262</v>
      </c>
      <c r="Z84" s="3" t="s">
        <v>39</v>
      </c>
    </row>
    <row r="85" spans="1:26" x14ac:dyDescent="0.25">
      <c r="A85" t="s">
        <v>263</v>
      </c>
      <c r="B85" t="s">
        <v>264</v>
      </c>
      <c r="C85" s="48" t="s">
        <v>12</v>
      </c>
      <c r="D85" s="3" t="str">
        <f>"341211457339898140"</f>
        <v>341211457339898140</v>
      </c>
      <c r="E85" s="3" t="s">
        <v>38</v>
      </c>
      <c r="F85" s="9">
        <v>3600</v>
      </c>
      <c r="G85" s="3" t="s">
        <v>260</v>
      </c>
      <c r="H85" s="3" t="s">
        <v>261</v>
      </c>
      <c r="I85" s="3" t="s">
        <v>40</v>
      </c>
      <c r="J85" s="3" t="str">
        <f>"07/03/2016 14:09"</f>
        <v>07/03/2016 14:09</v>
      </c>
      <c r="K85" s="3" t="str">
        <f>"7506137914"</f>
        <v>7506137914</v>
      </c>
      <c r="L85" s="3" t="s">
        <v>39</v>
      </c>
      <c r="M85" s="3" t="str">
        <f t="shared" si="0"/>
        <v>Male</v>
      </c>
      <c r="N85" t="s">
        <v>258</v>
      </c>
      <c r="O85" t="s">
        <v>259</v>
      </c>
      <c r="P85" s="9">
        <v>1</v>
      </c>
      <c r="Q85" s="7">
        <v>3600</v>
      </c>
      <c r="R85" s="7">
        <v>3474</v>
      </c>
      <c r="S85" s="7">
        <v>126</v>
      </c>
      <c r="T85" s="11">
        <v>3.5000000000000003E-2</v>
      </c>
      <c r="U85" s="11">
        <v>0</v>
      </c>
      <c r="V85" s="11">
        <v>0</v>
      </c>
      <c r="W85" s="11">
        <v>0</v>
      </c>
      <c r="X85" s="3" t="s">
        <v>39</v>
      </c>
      <c r="Y85" s="3" t="s">
        <v>262</v>
      </c>
      <c r="Z85" s="3" t="s">
        <v>39</v>
      </c>
    </row>
    <row r="86" spans="1:26" x14ac:dyDescent="0.25">
      <c r="A86" t="s">
        <v>265</v>
      </c>
      <c r="B86" t="s">
        <v>266</v>
      </c>
      <c r="C86" s="48" t="s">
        <v>12</v>
      </c>
      <c r="D86" s="3" t="str">
        <f>"341211457339898140"</f>
        <v>341211457339898140</v>
      </c>
      <c r="E86" s="3" t="s">
        <v>38</v>
      </c>
      <c r="F86" s="9">
        <v>3600</v>
      </c>
      <c r="G86" s="3" t="s">
        <v>260</v>
      </c>
      <c r="H86" s="3" t="s">
        <v>261</v>
      </c>
      <c r="I86" s="3" t="s">
        <v>40</v>
      </c>
      <c r="J86" s="3" t="str">
        <f>"07/03/2016 14:09"</f>
        <v>07/03/2016 14:09</v>
      </c>
      <c r="K86" s="3" t="str">
        <f>"9921256321"</f>
        <v>9921256321</v>
      </c>
      <c r="L86" s="3" t="s">
        <v>39</v>
      </c>
      <c r="M86" s="3" t="str">
        <f t="shared" si="0"/>
        <v>Male</v>
      </c>
      <c r="N86" t="s">
        <v>258</v>
      </c>
      <c r="O86" t="s">
        <v>259</v>
      </c>
      <c r="P86" s="9">
        <v>1</v>
      </c>
      <c r="Q86" s="7">
        <v>3600</v>
      </c>
      <c r="R86" s="7">
        <v>3474</v>
      </c>
      <c r="S86" s="7">
        <v>126</v>
      </c>
      <c r="T86" s="11">
        <v>3.5000000000000003E-2</v>
      </c>
      <c r="U86" s="11">
        <v>0</v>
      </c>
      <c r="V86" s="11">
        <v>0</v>
      </c>
      <c r="W86" s="11">
        <v>0</v>
      </c>
      <c r="X86" s="3" t="s">
        <v>39</v>
      </c>
      <c r="Y86" s="3" t="s">
        <v>262</v>
      </c>
      <c r="Z86" s="3" t="s">
        <v>39</v>
      </c>
    </row>
    <row r="87" spans="1:26" x14ac:dyDescent="0.25">
      <c r="A87" t="s">
        <v>267</v>
      </c>
      <c r="B87" t="s">
        <v>268</v>
      </c>
      <c r="C87" s="48" t="s">
        <v>12</v>
      </c>
      <c r="D87" s="3" t="str">
        <f>"341211457339898140"</f>
        <v>341211457339898140</v>
      </c>
      <c r="E87" s="3" t="s">
        <v>38</v>
      </c>
      <c r="F87" s="9">
        <v>3600</v>
      </c>
      <c r="G87" s="3" t="s">
        <v>260</v>
      </c>
      <c r="H87" s="3" t="s">
        <v>261</v>
      </c>
      <c r="I87" s="3" t="s">
        <v>40</v>
      </c>
      <c r="J87" s="3" t="str">
        <f>"07/03/2016 14:09"</f>
        <v>07/03/2016 14:09</v>
      </c>
      <c r="K87" s="3" t="str">
        <f>"8108978089"</f>
        <v>8108978089</v>
      </c>
      <c r="L87" s="3" t="s">
        <v>39</v>
      </c>
      <c r="M87" s="3" t="str">
        <f t="shared" si="0"/>
        <v>Male</v>
      </c>
      <c r="N87" t="s">
        <v>258</v>
      </c>
      <c r="O87" t="s">
        <v>259</v>
      </c>
      <c r="P87" s="9">
        <v>1</v>
      </c>
      <c r="Q87" s="7">
        <v>3600</v>
      </c>
      <c r="R87" s="7">
        <v>3474</v>
      </c>
      <c r="S87" s="7">
        <v>126</v>
      </c>
      <c r="T87" s="11">
        <v>3.5000000000000003E-2</v>
      </c>
      <c r="U87" s="11">
        <v>0</v>
      </c>
      <c r="V87" s="11">
        <v>0</v>
      </c>
      <c r="W87" s="11">
        <v>0</v>
      </c>
      <c r="X87" s="3" t="s">
        <v>39</v>
      </c>
      <c r="Y87" s="3" t="s">
        <v>262</v>
      </c>
      <c r="Z87" s="3" t="s">
        <v>39</v>
      </c>
    </row>
    <row r="88" spans="1:26" x14ac:dyDescent="0.25">
      <c r="A88" t="s">
        <v>269</v>
      </c>
      <c r="B88" t="s">
        <v>270</v>
      </c>
      <c r="C88" s="48" t="s">
        <v>12</v>
      </c>
      <c r="D88" s="3" t="str">
        <f>"632051457498903088"</f>
        <v>632051457498903088</v>
      </c>
      <c r="E88" s="3" t="s">
        <v>38</v>
      </c>
      <c r="F88" s="9">
        <v>4500</v>
      </c>
      <c r="G88" s="3" t="s">
        <v>39</v>
      </c>
      <c r="H88" s="3" t="s">
        <v>39</v>
      </c>
      <c r="I88" s="3" t="s">
        <v>40</v>
      </c>
      <c r="J88" s="3" t="str">
        <f>"09/03/2016 10:19"</f>
        <v>09/03/2016 10:19</v>
      </c>
      <c r="K88" s="3" t="str">
        <f>"9740800518"</f>
        <v>9740800518</v>
      </c>
      <c r="L88" s="3" t="s">
        <v>39</v>
      </c>
      <c r="M88" s="3" t="str">
        <f t="shared" si="0"/>
        <v>Male</v>
      </c>
      <c r="N88" t="s">
        <v>269</v>
      </c>
      <c r="O88" t="s">
        <v>270</v>
      </c>
      <c r="P88" s="9">
        <v>1</v>
      </c>
      <c r="Q88" s="7">
        <v>4500</v>
      </c>
      <c r="R88" s="7">
        <v>4342.5</v>
      </c>
      <c r="S88" s="7">
        <v>157.5</v>
      </c>
      <c r="T88" s="11">
        <v>3.5000000000000003E-2</v>
      </c>
      <c r="U88" s="11">
        <v>0</v>
      </c>
      <c r="V88" s="11">
        <v>0</v>
      </c>
      <c r="W88" s="11">
        <v>0</v>
      </c>
      <c r="X88" s="3" t="s">
        <v>39</v>
      </c>
      <c r="Y88" s="3" t="s">
        <v>271</v>
      </c>
      <c r="Z88" s="3" t="s">
        <v>39</v>
      </c>
    </row>
    <row r="89" spans="1:26" x14ac:dyDescent="0.25">
      <c r="A89" t="s">
        <v>272</v>
      </c>
      <c r="B89" t="s">
        <v>273</v>
      </c>
      <c r="C89" s="48" t="s">
        <v>12</v>
      </c>
      <c r="D89" s="3" t="str">
        <f>"203021457532984563"</f>
        <v>203021457532984563</v>
      </c>
      <c r="E89" s="3" t="s">
        <v>38</v>
      </c>
      <c r="F89" s="9">
        <v>4500</v>
      </c>
      <c r="G89" s="3" t="s">
        <v>39</v>
      </c>
      <c r="H89" s="3" t="s">
        <v>39</v>
      </c>
      <c r="I89" s="3" t="s">
        <v>40</v>
      </c>
      <c r="J89" s="3" t="str">
        <f>"09/03/2016 19:48"</f>
        <v>09/03/2016 19:48</v>
      </c>
      <c r="K89" s="3" t="str">
        <f>"9739697190"</f>
        <v>9739697190</v>
      </c>
      <c r="L89" s="3" t="s">
        <v>39</v>
      </c>
      <c r="M89" s="3" t="str">
        <f t="shared" si="0"/>
        <v>Male</v>
      </c>
      <c r="N89" t="s">
        <v>272</v>
      </c>
      <c r="O89" t="s">
        <v>273</v>
      </c>
      <c r="P89" s="9">
        <v>1</v>
      </c>
      <c r="Q89" s="7">
        <v>4500</v>
      </c>
      <c r="R89" s="7">
        <v>4342.5</v>
      </c>
      <c r="S89" s="7">
        <v>157.5</v>
      </c>
      <c r="T89" s="11">
        <v>3.5000000000000003E-2</v>
      </c>
      <c r="U89" s="11">
        <v>0</v>
      </c>
      <c r="V89" s="11">
        <v>0</v>
      </c>
      <c r="W89" s="11">
        <v>0</v>
      </c>
      <c r="X89" s="3" t="s">
        <v>39</v>
      </c>
      <c r="Y89" s="3" t="s">
        <v>274</v>
      </c>
      <c r="Z89" s="3" t="s">
        <v>39</v>
      </c>
    </row>
    <row r="90" spans="1:26" x14ac:dyDescent="0.25">
      <c r="A90" t="s">
        <v>275</v>
      </c>
      <c r="B90" t="s">
        <v>276</v>
      </c>
      <c r="C90" s="48" t="s">
        <v>12</v>
      </c>
      <c r="D90" s="3" t="str">
        <f>"203021457532984563"</f>
        <v>203021457532984563</v>
      </c>
      <c r="E90" s="3" t="s">
        <v>38</v>
      </c>
      <c r="F90" s="9">
        <v>4500</v>
      </c>
      <c r="G90" s="3" t="s">
        <v>39</v>
      </c>
      <c r="H90" s="3" t="s">
        <v>39</v>
      </c>
      <c r="I90" s="3" t="s">
        <v>40</v>
      </c>
      <c r="J90" s="3" t="str">
        <f>"09/03/2016 19:48"</f>
        <v>09/03/2016 19:48</v>
      </c>
      <c r="K90" s="3" t="str">
        <f>"9448305445"</f>
        <v>9448305445</v>
      </c>
      <c r="L90" s="3" t="s">
        <v>39</v>
      </c>
      <c r="M90" s="3" t="str">
        <f t="shared" si="0"/>
        <v>Male</v>
      </c>
      <c r="N90" t="s">
        <v>272</v>
      </c>
      <c r="O90" t="s">
        <v>273</v>
      </c>
      <c r="P90" s="9">
        <v>1</v>
      </c>
      <c r="Q90" s="7">
        <v>4500</v>
      </c>
      <c r="R90" s="7">
        <v>4342.5</v>
      </c>
      <c r="S90" s="7">
        <v>157.5</v>
      </c>
      <c r="T90" s="11">
        <v>3.5000000000000003E-2</v>
      </c>
      <c r="U90" s="11">
        <v>0</v>
      </c>
      <c r="V90" s="11">
        <v>0</v>
      </c>
      <c r="W90" s="11">
        <v>0</v>
      </c>
      <c r="X90" s="3" t="s">
        <v>39</v>
      </c>
      <c r="Y90" s="3" t="s">
        <v>274</v>
      </c>
      <c r="Z90" s="3" t="s">
        <v>39</v>
      </c>
    </row>
    <row r="91" spans="1:26" x14ac:dyDescent="0.25">
      <c r="A91" t="s">
        <v>277</v>
      </c>
      <c r="B91" t="s">
        <v>278</v>
      </c>
      <c r="C91" s="48" t="s">
        <v>12</v>
      </c>
      <c r="D91" s="3" t="str">
        <f>"203021457532984563"</f>
        <v>203021457532984563</v>
      </c>
      <c r="E91" s="3" t="s">
        <v>38</v>
      </c>
      <c r="F91" s="9">
        <v>4500</v>
      </c>
      <c r="G91" s="3" t="s">
        <v>39</v>
      </c>
      <c r="H91" s="3" t="s">
        <v>39</v>
      </c>
      <c r="I91" s="3" t="s">
        <v>40</v>
      </c>
      <c r="J91" s="3" t="str">
        <f>"09/03/2016 19:48"</f>
        <v>09/03/2016 19:48</v>
      </c>
      <c r="K91" s="3" t="str">
        <f>"8867635500"</f>
        <v>8867635500</v>
      </c>
      <c r="L91" s="3" t="s">
        <v>39</v>
      </c>
      <c r="M91" s="3" t="str">
        <f t="shared" si="0"/>
        <v>Male</v>
      </c>
      <c r="N91" t="s">
        <v>272</v>
      </c>
      <c r="O91" t="s">
        <v>273</v>
      </c>
      <c r="P91" s="9">
        <v>1</v>
      </c>
      <c r="Q91" s="7">
        <v>4500</v>
      </c>
      <c r="R91" s="7">
        <v>4342.5</v>
      </c>
      <c r="S91" s="7">
        <v>157.5</v>
      </c>
      <c r="T91" s="11">
        <v>3.5000000000000003E-2</v>
      </c>
      <c r="U91" s="11">
        <v>0</v>
      </c>
      <c r="V91" s="11">
        <v>0</v>
      </c>
      <c r="W91" s="11">
        <v>0</v>
      </c>
      <c r="X91" s="3" t="s">
        <v>39</v>
      </c>
      <c r="Y91" s="3" t="s">
        <v>274</v>
      </c>
      <c r="Z91" s="3" t="s">
        <v>39</v>
      </c>
    </row>
    <row r="92" spans="1:26" x14ac:dyDescent="0.25">
      <c r="A92" t="s">
        <v>279</v>
      </c>
      <c r="B92" t="s">
        <v>280</v>
      </c>
      <c r="C92" s="48" t="s">
        <v>12</v>
      </c>
      <c r="D92" s="3" t="str">
        <f>"203021457532984563"</f>
        <v>203021457532984563</v>
      </c>
      <c r="E92" s="3" t="s">
        <v>38</v>
      </c>
      <c r="F92" s="9">
        <v>4500</v>
      </c>
      <c r="G92" s="3" t="s">
        <v>39</v>
      </c>
      <c r="H92" s="3" t="s">
        <v>39</v>
      </c>
      <c r="I92" s="3" t="s">
        <v>40</v>
      </c>
      <c r="J92" s="3" t="str">
        <f>"09/03/2016 19:48"</f>
        <v>09/03/2016 19:48</v>
      </c>
      <c r="K92" s="3" t="str">
        <f>"7204087462"</f>
        <v>7204087462</v>
      </c>
      <c r="L92" s="3" t="s">
        <v>39</v>
      </c>
      <c r="M92" s="3" t="str">
        <f t="shared" si="0"/>
        <v>Male</v>
      </c>
      <c r="N92" t="s">
        <v>272</v>
      </c>
      <c r="O92" t="s">
        <v>273</v>
      </c>
      <c r="P92" s="9">
        <v>1</v>
      </c>
      <c r="Q92" s="7">
        <v>4500</v>
      </c>
      <c r="R92" s="7">
        <v>4342.5</v>
      </c>
      <c r="S92" s="7">
        <v>157.5</v>
      </c>
      <c r="T92" s="11">
        <v>3.5000000000000003E-2</v>
      </c>
      <c r="U92" s="11">
        <v>0</v>
      </c>
      <c r="V92" s="11">
        <v>0</v>
      </c>
      <c r="W92" s="11">
        <v>0</v>
      </c>
      <c r="X92" s="3" t="s">
        <v>39</v>
      </c>
      <c r="Y92" s="3" t="s">
        <v>274</v>
      </c>
      <c r="Z92" s="3" t="s">
        <v>39</v>
      </c>
    </row>
    <row r="93" spans="1:26" x14ac:dyDescent="0.25">
      <c r="A93" t="s">
        <v>281</v>
      </c>
      <c r="B93" t="s">
        <v>282</v>
      </c>
      <c r="C93" s="48" t="s">
        <v>12</v>
      </c>
      <c r="D93" s="3" t="str">
        <f>"245711457674446963"</f>
        <v>245711457674446963</v>
      </c>
      <c r="E93" s="3" t="s">
        <v>38</v>
      </c>
      <c r="F93" s="9">
        <v>4500</v>
      </c>
      <c r="G93" s="3" t="s">
        <v>39</v>
      </c>
      <c r="H93" s="3" t="s">
        <v>39</v>
      </c>
      <c r="I93" s="3" t="s">
        <v>40</v>
      </c>
      <c r="J93" s="3" t="str">
        <f>"11/03/2016 11:05"</f>
        <v>11/03/2016 11:05</v>
      </c>
      <c r="K93" s="3" t="str">
        <f>"8050897446"</f>
        <v>8050897446</v>
      </c>
      <c r="L93" s="3" t="str">
        <f>"Medium"</f>
        <v>Medium</v>
      </c>
      <c r="M93" s="3" t="s">
        <v>248</v>
      </c>
      <c r="N93" t="s">
        <v>281</v>
      </c>
      <c r="O93" t="s">
        <v>282</v>
      </c>
      <c r="P93" s="9">
        <v>1</v>
      </c>
      <c r="Q93" s="7">
        <v>4500</v>
      </c>
      <c r="R93" s="7">
        <v>4342.5</v>
      </c>
      <c r="S93" s="7">
        <v>157.5</v>
      </c>
      <c r="T93" s="11">
        <v>3.5000000000000003E-2</v>
      </c>
      <c r="U93" s="11">
        <v>0</v>
      </c>
      <c r="V93" s="11">
        <v>0</v>
      </c>
      <c r="W93" s="11">
        <v>0</v>
      </c>
      <c r="X93" s="3" t="s">
        <v>39</v>
      </c>
      <c r="Y93" s="3" t="s">
        <v>283</v>
      </c>
      <c r="Z93" s="3" t="s">
        <v>39</v>
      </c>
    </row>
    <row r="94" spans="1:26" x14ac:dyDescent="0.25">
      <c r="A94" t="s">
        <v>284</v>
      </c>
      <c r="B94" t="s">
        <v>285</v>
      </c>
      <c r="C94" s="48" t="s">
        <v>12</v>
      </c>
      <c r="D94" s="3" t="str">
        <f>"302151457674651732"</f>
        <v>302151457674651732</v>
      </c>
      <c r="E94" s="3" t="s">
        <v>38</v>
      </c>
      <c r="F94" s="9">
        <v>4500</v>
      </c>
      <c r="G94" s="3" t="s">
        <v>39</v>
      </c>
      <c r="H94" s="3" t="s">
        <v>39</v>
      </c>
      <c r="I94" s="3" t="s">
        <v>40</v>
      </c>
      <c r="J94" s="3" t="str">
        <f>"11/03/2016 11:09"</f>
        <v>11/03/2016 11:09</v>
      </c>
      <c r="K94" s="3" t="str">
        <f>"9880169169"</f>
        <v>9880169169</v>
      </c>
      <c r="L94" s="3" t="str">
        <f>"Medium"</f>
        <v>Medium</v>
      </c>
      <c r="M94" s="3" t="str">
        <f>"Male"</f>
        <v>Male</v>
      </c>
      <c r="N94" t="s">
        <v>284</v>
      </c>
      <c r="O94" t="s">
        <v>285</v>
      </c>
      <c r="P94" s="9">
        <v>1</v>
      </c>
      <c r="Q94" s="7">
        <v>4500</v>
      </c>
      <c r="R94" s="7">
        <v>4342.5</v>
      </c>
      <c r="S94" s="7">
        <v>157.5</v>
      </c>
      <c r="T94" s="11">
        <v>3.5000000000000003E-2</v>
      </c>
      <c r="U94" s="11">
        <v>0</v>
      </c>
      <c r="V94" s="11">
        <v>0</v>
      </c>
      <c r="W94" s="11">
        <v>0</v>
      </c>
      <c r="X94" s="3" t="s">
        <v>39</v>
      </c>
      <c r="Y94" s="3" t="s">
        <v>283</v>
      </c>
      <c r="Z94" s="3" t="s">
        <v>39</v>
      </c>
    </row>
    <row r="95" spans="1:26" x14ac:dyDescent="0.25">
      <c r="A95" t="s">
        <v>324</v>
      </c>
      <c r="B95" t="s">
        <v>323</v>
      </c>
      <c r="C95" s="3" t="s">
        <v>12</v>
      </c>
      <c r="D95" s="3" t="str">
        <f>"427671459413760122"</f>
        <v>427671459413760122</v>
      </c>
      <c r="E95" s="3" t="s">
        <v>38</v>
      </c>
      <c r="F95" s="9">
        <v>4500</v>
      </c>
      <c r="G95" s="3" t="s">
        <v>39</v>
      </c>
      <c r="H95" s="3" t="s">
        <v>39</v>
      </c>
      <c r="I95" s="3" t="s">
        <v>40</v>
      </c>
      <c r="J95" t="str">
        <f>"31/03/2016 14:17"</f>
        <v>31/03/2016 14:17</v>
      </c>
      <c r="K95" s="3" t="str">
        <f>"XL"</f>
        <v>XL</v>
      </c>
      <c r="L95" s="3" t="str">
        <f>"9538388000"</f>
        <v>9538388000</v>
      </c>
      <c r="M95" s="3" t="str">
        <f>"Male"</f>
        <v>Male</v>
      </c>
      <c r="N95" t="s">
        <v>324</v>
      </c>
      <c r="O95" t="s">
        <v>323</v>
      </c>
      <c r="P95" s="9">
        <v>1</v>
      </c>
      <c r="Q95" s="7">
        <v>4500</v>
      </c>
      <c r="R95" s="7">
        <v>4342.5</v>
      </c>
      <c r="S95" s="7">
        <v>157.5</v>
      </c>
      <c r="T95" s="51">
        <v>3.5000000000000003E-2</v>
      </c>
      <c r="U95" s="51">
        <v>0</v>
      </c>
      <c r="V95" s="51">
        <v>0</v>
      </c>
      <c r="W95" s="51">
        <v>0</v>
      </c>
      <c r="X95" s="52" t="s">
        <v>39</v>
      </c>
      <c r="Y95" s="52" t="s">
        <v>287</v>
      </c>
      <c r="Z95" s="52" t="s">
        <v>39</v>
      </c>
    </row>
    <row r="96" spans="1:26" x14ac:dyDescent="0.25">
      <c r="A96" t="s">
        <v>322</v>
      </c>
      <c r="B96" t="s">
        <v>321</v>
      </c>
      <c r="C96" s="3" t="s">
        <v>12</v>
      </c>
      <c r="D96" s="3" t="str">
        <f>"014621459353109356"</f>
        <v>014621459353109356</v>
      </c>
      <c r="E96" s="3" t="s">
        <v>38</v>
      </c>
      <c r="F96" s="9">
        <v>4500</v>
      </c>
      <c r="G96" s="3" t="s">
        <v>39</v>
      </c>
      <c r="H96" s="3" t="s">
        <v>39</v>
      </c>
      <c r="I96" s="3" t="s">
        <v>40</v>
      </c>
      <c r="J96" t="str">
        <f>"30/03/2016 21:23"</f>
        <v>30/03/2016 21:23</v>
      </c>
      <c r="K96" s="3" t="str">
        <f>"M"</f>
        <v>M</v>
      </c>
      <c r="L96" s="3" t="str">
        <f>"8130540142"</f>
        <v>8130540142</v>
      </c>
      <c r="M96" s="3" t="str">
        <f>"Female"</f>
        <v>Female</v>
      </c>
      <c r="N96" t="s">
        <v>322</v>
      </c>
      <c r="O96" t="s">
        <v>321</v>
      </c>
      <c r="P96" s="9">
        <v>1</v>
      </c>
      <c r="Q96" s="7">
        <v>4500</v>
      </c>
      <c r="R96" s="7">
        <v>4342.5</v>
      </c>
      <c r="S96" s="7">
        <v>157.5</v>
      </c>
      <c r="T96" s="51">
        <v>3.5000000000000003E-2</v>
      </c>
      <c r="U96" s="51">
        <v>0</v>
      </c>
      <c r="V96" s="51">
        <v>0</v>
      </c>
      <c r="W96" s="51">
        <v>0</v>
      </c>
      <c r="X96" s="52" t="s">
        <v>39</v>
      </c>
      <c r="Y96" s="52" t="s">
        <v>287</v>
      </c>
      <c r="Z96" s="52" t="s">
        <v>39</v>
      </c>
    </row>
    <row r="97" spans="1:26" x14ac:dyDescent="0.25">
      <c r="A97" t="s">
        <v>320</v>
      </c>
      <c r="B97" t="s">
        <v>319</v>
      </c>
      <c r="C97" s="3" t="s">
        <v>12</v>
      </c>
      <c r="D97" s="3" t="str">
        <f>"402331459352528599"</f>
        <v>402331459352528599</v>
      </c>
      <c r="E97" s="3" t="s">
        <v>38</v>
      </c>
      <c r="F97" s="9">
        <v>4500</v>
      </c>
      <c r="G97" s="3" t="s">
        <v>39</v>
      </c>
      <c r="H97" s="3" t="s">
        <v>39</v>
      </c>
      <c r="I97" s="3" t="s">
        <v>40</v>
      </c>
      <c r="J97" t="str">
        <f>"30/03/2016 21:14"</f>
        <v>30/03/2016 21:14</v>
      </c>
      <c r="K97" s="3" t="str">
        <f>"XL"</f>
        <v>XL</v>
      </c>
      <c r="L97" s="3" t="str">
        <f>"+919891426188"</f>
        <v>+919891426188</v>
      </c>
      <c r="M97" s="3" t="str">
        <f t="shared" ref="M97:M102" si="1">"Male"</f>
        <v>Male</v>
      </c>
      <c r="N97" t="s">
        <v>320</v>
      </c>
      <c r="O97" t="s">
        <v>319</v>
      </c>
      <c r="P97" s="9">
        <v>1</v>
      </c>
      <c r="Q97" s="7">
        <v>4500</v>
      </c>
      <c r="R97" s="7">
        <v>4342.5</v>
      </c>
      <c r="S97" s="7">
        <v>157.5</v>
      </c>
      <c r="T97" s="51">
        <v>3.5000000000000003E-2</v>
      </c>
      <c r="U97" s="51">
        <v>0</v>
      </c>
      <c r="V97" s="51">
        <v>0</v>
      </c>
      <c r="W97" s="51">
        <v>0</v>
      </c>
      <c r="X97" s="52" t="s">
        <v>39</v>
      </c>
      <c r="Y97" s="52" t="s">
        <v>287</v>
      </c>
      <c r="Z97" s="52" t="s">
        <v>39</v>
      </c>
    </row>
    <row r="98" spans="1:26" x14ac:dyDescent="0.25">
      <c r="A98" t="s">
        <v>318</v>
      </c>
      <c r="B98" t="s">
        <v>317</v>
      </c>
      <c r="C98" s="3" t="s">
        <v>12</v>
      </c>
      <c r="D98" s="3" t="str">
        <f>"032261459346269572"</f>
        <v>032261459346269572</v>
      </c>
      <c r="E98" s="3" t="s">
        <v>38</v>
      </c>
      <c r="F98" s="9">
        <v>4500</v>
      </c>
      <c r="G98" s="3" t="s">
        <v>39</v>
      </c>
      <c r="H98" s="3" t="s">
        <v>39</v>
      </c>
      <c r="I98" s="3" t="s">
        <v>40</v>
      </c>
      <c r="J98" t="str">
        <f>"30/03/2016 19:29"</f>
        <v>30/03/2016 19:29</v>
      </c>
      <c r="K98" s="3" t="str">
        <f>"L"</f>
        <v>L</v>
      </c>
      <c r="L98" s="3" t="str">
        <f>"9035533947"</f>
        <v>9035533947</v>
      </c>
      <c r="M98" s="3" t="str">
        <f t="shared" si="1"/>
        <v>Male</v>
      </c>
      <c r="N98" t="s">
        <v>318</v>
      </c>
      <c r="O98" t="s">
        <v>317</v>
      </c>
      <c r="P98" s="9">
        <v>1</v>
      </c>
      <c r="Q98" s="7">
        <v>4500</v>
      </c>
      <c r="R98" s="7">
        <v>4342.5</v>
      </c>
      <c r="S98" s="7">
        <v>157.5</v>
      </c>
      <c r="T98" s="51">
        <v>3.5000000000000003E-2</v>
      </c>
      <c r="U98" s="51">
        <v>0</v>
      </c>
      <c r="V98" s="51">
        <v>0</v>
      </c>
      <c r="W98" s="51">
        <v>0</v>
      </c>
      <c r="X98" s="52" t="s">
        <v>39</v>
      </c>
      <c r="Y98" s="52" t="s">
        <v>287</v>
      </c>
      <c r="Z98" s="52" t="s">
        <v>39</v>
      </c>
    </row>
    <row r="99" spans="1:26" x14ac:dyDescent="0.25">
      <c r="A99" t="s">
        <v>314</v>
      </c>
      <c r="B99" t="s">
        <v>313</v>
      </c>
      <c r="C99" s="3" t="s">
        <v>12</v>
      </c>
      <c r="D99" s="3" t="str">
        <f>"107651459341615432"</f>
        <v>107651459341615432</v>
      </c>
      <c r="E99" s="3" t="s">
        <v>38</v>
      </c>
      <c r="F99" s="9">
        <v>4500</v>
      </c>
      <c r="G99" s="3" t="s">
        <v>39</v>
      </c>
      <c r="H99" s="3" t="s">
        <v>39</v>
      </c>
      <c r="I99" s="3" t="s">
        <v>40</v>
      </c>
      <c r="J99" t="str">
        <f>"30/03/2016 18:17"</f>
        <v>30/03/2016 18:17</v>
      </c>
      <c r="K99" s="3" t="str">
        <f>"M"</f>
        <v>M</v>
      </c>
      <c r="L99" s="3" t="str">
        <f>"9350319572"</f>
        <v>9350319572</v>
      </c>
      <c r="M99" s="3" t="str">
        <f t="shared" si="1"/>
        <v>Male</v>
      </c>
      <c r="N99" t="s">
        <v>314</v>
      </c>
      <c r="O99" t="s">
        <v>313</v>
      </c>
      <c r="P99" s="9">
        <v>1</v>
      </c>
      <c r="Q99" s="7">
        <v>4500</v>
      </c>
      <c r="R99" s="7">
        <v>4342.5</v>
      </c>
      <c r="S99" s="7">
        <v>157.5</v>
      </c>
      <c r="T99" s="51">
        <v>3.5000000000000003E-2</v>
      </c>
      <c r="U99" s="51">
        <v>0</v>
      </c>
      <c r="V99" s="51">
        <v>0</v>
      </c>
      <c r="W99" s="51">
        <v>0</v>
      </c>
      <c r="X99" s="52" t="s">
        <v>39</v>
      </c>
      <c r="Y99" s="52" t="s">
        <v>287</v>
      </c>
      <c r="Z99" s="52" t="s">
        <v>39</v>
      </c>
    </row>
    <row r="100" spans="1:26" x14ac:dyDescent="0.25">
      <c r="A100" t="s">
        <v>316</v>
      </c>
      <c r="B100" t="s">
        <v>315</v>
      </c>
      <c r="C100" s="3" t="s">
        <v>12</v>
      </c>
      <c r="D100" s="3" t="str">
        <f>"107651459341615432"</f>
        <v>107651459341615432</v>
      </c>
      <c r="E100" s="3" t="s">
        <v>38</v>
      </c>
      <c r="F100" s="9">
        <v>4500</v>
      </c>
      <c r="G100" s="3" t="s">
        <v>39</v>
      </c>
      <c r="H100" s="3" t="s">
        <v>39</v>
      </c>
      <c r="I100" s="3" t="s">
        <v>40</v>
      </c>
      <c r="J100" t="str">
        <f>"30/03/2016 18:17"</f>
        <v>30/03/2016 18:17</v>
      </c>
      <c r="K100" s="3" t="str">
        <f>"M"</f>
        <v>M</v>
      </c>
      <c r="L100" s="3" t="str">
        <f>"9717988688"</f>
        <v>9717988688</v>
      </c>
      <c r="M100" s="3" t="str">
        <f t="shared" si="1"/>
        <v>Male</v>
      </c>
      <c r="N100" t="s">
        <v>314</v>
      </c>
      <c r="O100" t="s">
        <v>313</v>
      </c>
      <c r="P100" s="9">
        <v>1</v>
      </c>
      <c r="Q100" s="7">
        <v>4500</v>
      </c>
      <c r="R100" s="7">
        <v>4342.5</v>
      </c>
      <c r="S100" s="7">
        <v>157.5</v>
      </c>
      <c r="T100" s="51">
        <v>3.5000000000000003E-2</v>
      </c>
      <c r="U100" s="51">
        <v>0</v>
      </c>
      <c r="V100" s="51">
        <v>0</v>
      </c>
      <c r="W100" s="51">
        <v>0</v>
      </c>
      <c r="X100" s="52" t="s">
        <v>39</v>
      </c>
      <c r="Y100" s="52" t="s">
        <v>287</v>
      </c>
      <c r="Z100" s="52" t="s">
        <v>39</v>
      </c>
    </row>
    <row r="101" spans="1:26" x14ac:dyDescent="0.25">
      <c r="A101" t="s">
        <v>312</v>
      </c>
      <c r="B101" t="s">
        <v>311</v>
      </c>
      <c r="C101" s="3" t="s">
        <v>12</v>
      </c>
      <c r="D101" s="3" t="str">
        <f>"671131459337463671"</f>
        <v>671131459337463671</v>
      </c>
      <c r="E101" s="3" t="s">
        <v>38</v>
      </c>
      <c r="F101" s="9">
        <v>4500</v>
      </c>
      <c r="G101" s="3" t="s">
        <v>39</v>
      </c>
      <c r="H101" s="3" t="s">
        <v>39</v>
      </c>
      <c r="I101" s="3" t="s">
        <v>40</v>
      </c>
      <c r="J101" t="str">
        <f>"30/03/2016 17:02"</f>
        <v>30/03/2016 17:02</v>
      </c>
      <c r="K101" s="3" t="str">
        <f>"L"</f>
        <v>L</v>
      </c>
      <c r="L101" s="3" t="str">
        <f>"9496327993"</f>
        <v>9496327993</v>
      </c>
      <c r="M101" s="3" t="str">
        <f t="shared" si="1"/>
        <v>Male</v>
      </c>
      <c r="N101" t="s">
        <v>312</v>
      </c>
      <c r="O101" t="s">
        <v>311</v>
      </c>
      <c r="P101" s="9">
        <v>1</v>
      </c>
      <c r="Q101" s="7">
        <v>4500</v>
      </c>
      <c r="R101" s="7">
        <v>4342.5</v>
      </c>
      <c r="S101" s="7">
        <v>157.5</v>
      </c>
      <c r="T101" s="51">
        <v>3.5000000000000003E-2</v>
      </c>
      <c r="U101" s="51">
        <v>0</v>
      </c>
      <c r="V101" s="51">
        <v>0</v>
      </c>
      <c r="W101" s="51">
        <v>0</v>
      </c>
      <c r="X101" s="52" t="s">
        <v>39</v>
      </c>
      <c r="Y101" s="52" t="s">
        <v>287</v>
      </c>
      <c r="Z101" s="52" t="s">
        <v>39</v>
      </c>
    </row>
    <row r="102" spans="1:26" x14ac:dyDescent="0.25">
      <c r="A102" t="s">
        <v>310</v>
      </c>
      <c r="B102" t="s">
        <v>309</v>
      </c>
      <c r="C102" s="3" t="s">
        <v>12</v>
      </c>
      <c r="D102" s="3" t="str">
        <f>"234351459336804572"</f>
        <v>234351459336804572</v>
      </c>
      <c r="E102" s="3" t="s">
        <v>38</v>
      </c>
      <c r="F102" s="9">
        <v>4500</v>
      </c>
      <c r="G102" s="3" t="s">
        <v>39</v>
      </c>
      <c r="H102" s="3" t="s">
        <v>39</v>
      </c>
      <c r="I102" s="3" t="s">
        <v>40</v>
      </c>
      <c r="J102" t="str">
        <f>"30/03/2016 16:51"</f>
        <v>30/03/2016 16:51</v>
      </c>
      <c r="K102" s="3" t="str">
        <f>"medium (M)"</f>
        <v>medium (M)</v>
      </c>
      <c r="L102" s="3" t="str">
        <f>"8826270567"</f>
        <v>8826270567</v>
      </c>
      <c r="M102" s="3" t="str">
        <f t="shared" si="1"/>
        <v>Male</v>
      </c>
      <c r="N102" t="s">
        <v>310</v>
      </c>
      <c r="O102" t="s">
        <v>309</v>
      </c>
      <c r="P102" s="9">
        <v>1</v>
      </c>
      <c r="Q102" s="7">
        <v>4500</v>
      </c>
      <c r="R102" s="7">
        <v>4342.5</v>
      </c>
      <c r="S102" s="7">
        <v>157.5</v>
      </c>
      <c r="T102" s="51">
        <v>3.5000000000000003E-2</v>
      </c>
      <c r="U102" s="51">
        <v>0</v>
      </c>
      <c r="V102" s="51">
        <v>0</v>
      </c>
      <c r="W102" s="51">
        <v>0</v>
      </c>
      <c r="X102" s="52" t="s">
        <v>39</v>
      </c>
      <c r="Y102" s="52" t="s">
        <v>287</v>
      </c>
      <c r="Z102" s="52" t="s">
        <v>39</v>
      </c>
    </row>
    <row r="103" spans="1:26" x14ac:dyDescent="0.25">
      <c r="A103" t="s">
        <v>308</v>
      </c>
      <c r="B103" t="s">
        <v>307</v>
      </c>
      <c r="C103" s="3" t="s">
        <v>12</v>
      </c>
      <c r="D103" s="3" t="str">
        <f>"004371459335656333"</f>
        <v>004371459335656333</v>
      </c>
      <c r="E103" s="3" t="s">
        <v>38</v>
      </c>
      <c r="F103" s="9">
        <v>4500</v>
      </c>
      <c r="G103" s="3" t="s">
        <v>39</v>
      </c>
      <c r="H103" s="3" t="s">
        <v>39</v>
      </c>
      <c r="I103" s="3" t="s">
        <v>40</v>
      </c>
      <c r="J103" t="str">
        <f>"30/03/2016 16:32"</f>
        <v>30/03/2016 16:32</v>
      </c>
      <c r="K103" s="3" t="str">
        <f>"Large"</f>
        <v>Large</v>
      </c>
      <c r="L103" s="3" t="str">
        <f>"8553376344"</f>
        <v>8553376344</v>
      </c>
      <c r="M103" s="3" t="str">
        <f>"Female"</f>
        <v>Female</v>
      </c>
      <c r="N103" t="s">
        <v>308</v>
      </c>
      <c r="O103" t="s">
        <v>307</v>
      </c>
      <c r="P103" s="9">
        <v>1</v>
      </c>
      <c r="Q103" s="7">
        <v>4500</v>
      </c>
      <c r="R103" s="7">
        <v>4342.5</v>
      </c>
      <c r="S103" s="7">
        <v>157.5</v>
      </c>
      <c r="T103" s="51">
        <v>3.5000000000000003E-2</v>
      </c>
      <c r="U103" s="51">
        <v>0</v>
      </c>
      <c r="V103" s="51">
        <v>0</v>
      </c>
      <c r="W103" s="51">
        <v>0</v>
      </c>
      <c r="X103" s="52" t="s">
        <v>39</v>
      </c>
      <c r="Y103" s="52" t="s">
        <v>287</v>
      </c>
      <c r="Z103" s="52" t="s">
        <v>39</v>
      </c>
    </row>
    <row r="104" spans="1:26" x14ac:dyDescent="0.25">
      <c r="A104" t="s">
        <v>306</v>
      </c>
      <c r="B104" t="s">
        <v>305</v>
      </c>
      <c r="C104" s="3" t="s">
        <v>12</v>
      </c>
      <c r="D104" s="3" t="str">
        <f>"330721459330630949"</f>
        <v>330721459330630949</v>
      </c>
      <c r="E104" s="3" t="s">
        <v>38</v>
      </c>
      <c r="F104" s="9">
        <v>4500</v>
      </c>
      <c r="G104" s="3" t="s">
        <v>39</v>
      </c>
      <c r="H104" s="3" t="s">
        <v>39</v>
      </c>
      <c r="I104" s="3" t="s">
        <v>40</v>
      </c>
      <c r="J104" t="str">
        <f>"30/03/2016 15:10"</f>
        <v>30/03/2016 15:10</v>
      </c>
      <c r="K104" s="3" t="str">
        <f>"M"</f>
        <v>M</v>
      </c>
      <c r="L104" s="3" t="str">
        <f>"9923397749"</f>
        <v>9923397749</v>
      </c>
      <c r="M104" s="3" t="str">
        <f t="shared" ref="M104:M109" si="2">"Male"</f>
        <v>Male</v>
      </c>
      <c r="N104" t="s">
        <v>302</v>
      </c>
      <c r="O104" t="s">
        <v>301</v>
      </c>
      <c r="P104" s="9">
        <v>1</v>
      </c>
      <c r="Q104" s="7">
        <v>4500</v>
      </c>
      <c r="R104" s="7">
        <v>4342.5</v>
      </c>
      <c r="S104" s="7">
        <v>157.5</v>
      </c>
      <c r="T104" s="51">
        <v>3.5000000000000003E-2</v>
      </c>
      <c r="U104" s="51">
        <v>0</v>
      </c>
      <c r="V104" s="51">
        <v>0</v>
      </c>
      <c r="W104" s="51">
        <v>0</v>
      </c>
      <c r="X104" s="52" t="s">
        <v>39</v>
      </c>
      <c r="Y104" s="52" t="s">
        <v>287</v>
      </c>
      <c r="Z104" s="52" t="s">
        <v>39</v>
      </c>
    </row>
    <row r="105" spans="1:26" x14ac:dyDescent="0.25">
      <c r="A105" t="s">
        <v>304</v>
      </c>
      <c r="B105" t="s">
        <v>303</v>
      </c>
      <c r="C105" s="3" t="s">
        <v>12</v>
      </c>
      <c r="D105" s="3" t="str">
        <f>"330721459330630949"</f>
        <v>330721459330630949</v>
      </c>
      <c r="E105" s="3" t="s">
        <v>38</v>
      </c>
      <c r="F105" s="9">
        <v>4500</v>
      </c>
      <c r="G105" s="3" t="s">
        <v>39</v>
      </c>
      <c r="H105" s="3" t="s">
        <v>39</v>
      </c>
      <c r="I105" s="3" t="s">
        <v>40</v>
      </c>
      <c r="J105" t="str">
        <f>"30/03/2016 15:10"</f>
        <v>30/03/2016 15:10</v>
      </c>
      <c r="K105" s="3" t="str">
        <f>"M"</f>
        <v>M</v>
      </c>
      <c r="L105" s="3" t="str">
        <f>"9764364383"</f>
        <v>9764364383</v>
      </c>
      <c r="M105" s="3" t="str">
        <f t="shared" si="2"/>
        <v>Male</v>
      </c>
      <c r="N105" t="s">
        <v>302</v>
      </c>
      <c r="O105" t="s">
        <v>301</v>
      </c>
      <c r="P105" s="9">
        <v>1</v>
      </c>
      <c r="Q105" s="7">
        <v>4500</v>
      </c>
      <c r="R105" s="7">
        <v>4342.5</v>
      </c>
      <c r="S105" s="7">
        <v>157.5</v>
      </c>
      <c r="T105" s="51">
        <v>3.5000000000000003E-2</v>
      </c>
      <c r="U105" s="51">
        <v>0</v>
      </c>
      <c r="V105" s="51">
        <v>0</v>
      </c>
      <c r="W105" s="51">
        <v>0</v>
      </c>
      <c r="X105" s="52" t="s">
        <v>39</v>
      </c>
      <c r="Y105" s="52" t="s">
        <v>287</v>
      </c>
      <c r="Z105" s="52" t="s">
        <v>39</v>
      </c>
    </row>
    <row r="106" spans="1:26" x14ac:dyDescent="0.25">
      <c r="A106" t="s">
        <v>300</v>
      </c>
      <c r="B106" t="s">
        <v>299</v>
      </c>
      <c r="C106" s="3" t="s">
        <v>12</v>
      </c>
      <c r="D106" s="3" t="str">
        <f>"757161459327621524"</f>
        <v>757161459327621524</v>
      </c>
      <c r="E106" s="3" t="s">
        <v>38</v>
      </c>
      <c r="F106" s="9">
        <v>4500</v>
      </c>
      <c r="G106" s="3" t="s">
        <v>39</v>
      </c>
      <c r="H106" s="3" t="s">
        <v>39</v>
      </c>
      <c r="I106" s="3" t="s">
        <v>40</v>
      </c>
      <c r="J106" t="str">
        <f>"30/03/2016 14:18"</f>
        <v>30/03/2016 14:18</v>
      </c>
      <c r="K106" s="3" t="str">
        <f>"L"</f>
        <v>L</v>
      </c>
      <c r="L106" s="3" t="str">
        <f>"9972872103"</f>
        <v>9972872103</v>
      </c>
      <c r="M106" s="3" t="str">
        <f t="shared" si="2"/>
        <v>Male</v>
      </c>
      <c r="N106" t="s">
        <v>292</v>
      </c>
      <c r="O106" t="s">
        <v>291</v>
      </c>
      <c r="P106" s="9">
        <v>1</v>
      </c>
      <c r="Q106" s="7">
        <v>4500</v>
      </c>
      <c r="R106" s="7">
        <v>4342.5</v>
      </c>
      <c r="S106" s="7">
        <v>157.5</v>
      </c>
      <c r="T106" s="51">
        <v>3.5000000000000003E-2</v>
      </c>
      <c r="U106" s="51">
        <v>0</v>
      </c>
      <c r="V106" s="51">
        <v>0</v>
      </c>
      <c r="W106" s="51">
        <v>0</v>
      </c>
      <c r="X106" s="52" t="s">
        <v>39</v>
      </c>
      <c r="Y106" s="52" t="s">
        <v>287</v>
      </c>
      <c r="Z106" s="52" t="s">
        <v>39</v>
      </c>
    </row>
    <row r="107" spans="1:26" x14ac:dyDescent="0.25">
      <c r="A107" t="s">
        <v>298</v>
      </c>
      <c r="B107" t="s">
        <v>297</v>
      </c>
      <c r="C107" s="3" t="s">
        <v>12</v>
      </c>
      <c r="D107" s="3" t="str">
        <f>"073721459326426542"</f>
        <v>073721459326426542</v>
      </c>
      <c r="E107" s="3" t="s">
        <v>38</v>
      </c>
      <c r="F107" s="9">
        <v>4500</v>
      </c>
      <c r="G107" s="3" t="s">
        <v>39</v>
      </c>
      <c r="H107" s="3" t="s">
        <v>39</v>
      </c>
      <c r="I107" s="3" t="s">
        <v>40</v>
      </c>
      <c r="J107" t="str">
        <f>"30/03/2016 13:58"</f>
        <v>30/03/2016 13:58</v>
      </c>
      <c r="K107" s="3" t="str">
        <f>"M"</f>
        <v>M</v>
      </c>
      <c r="L107" s="3" t="str">
        <f>"9972872103"</f>
        <v>9972872103</v>
      </c>
      <c r="M107" s="3" t="str">
        <f t="shared" si="2"/>
        <v>Male</v>
      </c>
      <c r="N107" t="s">
        <v>292</v>
      </c>
      <c r="O107" t="s">
        <v>291</v>
      </c>
      <c r="P107" s="9">
        <v>1</v>
      </c>
      <c r="Q107" s="7">
        <v>4500</v>
      </c>
      <c r="R107" s="7">
        <v>4342.5</v>
      </c>
      <c r="S107" s="7">
        <v>157.5</v>
      </c>
      <c r="T107" s="51">
        <v>3.5000000000000003E-2</v>
      </c>
      <c r="U107" s="51">
        <v>0</v>
      </c>
      <c r="V107" s="51">
        <v>0</v>
      </c>
      <c r="W107" s="51">
        <v>0</v>
      </c>
      <c r="X107" s="52" t="s">
        <v>39</v>
      </c>
      <c r="Y107" s="52" t="s">
        <v>287</v>
      </c>
      <c r="Z107" s="52" t="s">
        <v>39</v>
      </c>
    </row>
    <row r="108" spans="1:26" x14ac:dyDescent="0.25">
      <c r="A108" t="s">
        <v>296</v>
      </c>
      <c r="B108" t="s">
        <v>295</v>
      </c>
      <c r="C108" s="3" t="s">
        <v>12</v>
      </c>
      <c r="D108" s="3" t="str">
        <f>"073721459326426542"</f>
        <v>073721459326426542</v>
      </c>
      <c r="E108" s="3" t="s">
        <v>38</v>
      </c>
      <c r="F108" s="9">
        <v>4500</v>
      </c>
      <c r="G108" s="3" t="s">
        <v>39</v>
      </c>
      <c r="H108" s="3" t="s">
        <v>39</v>
      </c>
      <c r="I108" s="3" t="s">
        <v>40</v>
      </c>
      <c r="J108" t="str">
        <f>"30/03/2016 13:58"</f>
        <v>30/03/2016 13:58</v>
      </c>
      <c r="K108" s="3" t="str">
        <f>"M"</f>
        <v>M</v>
      </c>
      <c r="L108" s="3" t="str">
        <f>"9972872103"</f>
        <v>9972872103</v>
      </c>
      <c r="M108" s="3" t="str">
        <f t="shared" si="2"/>
        <v>Male</v>
      </c>
      <c r="N108" t="s">
        <v>292</v>
      </c>
      <c r="O108" t="s">
        <v>291</v>
      </c>
      <c r="P108" s="9">
        <v>1</v>
      </c>
      <c r="Q108" s="7">
        <v>4500</v>
      </c>
      <c r="R108" s="7">
        <v>4342.5</v>
      </c>
      <c r="S108" s="7">
        <v>157.5</v>
      </c>
      <c r="T108" s="51">
        <v>3.5000000000000003E-2</v>
      </c>
      <c r="U108" s="51">
        <v>0</v>
      </c>
      <c r="V108" s="51">
        <v>0</v>
      </c>
      <c r="W108" s="51">
        <v>0</v>
      </c>
      <c r="X108" s="52" t="s">
        <v>39</v>
      </c>
      <c r="Y108" s="52" t="s">
        <v>287</v>
      </c>
      <c r="Z108" s="52" t="s">
        <v>39</v>
      </c>
    </row>
    <row r="109" spans="1:26" x14ac:dyDescent="0.25">
      <c r="A109" t="s">
        <v>294</v>
      </c>
      <c r="B109" t="s">
        <v>293</v>
      </c>
      <c r="C109" s="3" t="s">
        <v>12</v>
      </c>
      <c r="D109" s="3" t="str">
        <f>"073721459326426542"</f>
        <v>073721459326426542</v>
      </c>
      <c r="E109" s="3" t="s">
        <v>38</v>
      </c>
      <c r="F109" s="9">
        <v>4500</v>
      </c>
      <c r="G109" s="3" t="s">
        <v>39</v>
      </c>
      <c r="H109" s="3" t="s">
        <v>39</v>
      </c>
      <c r="I109" s="3" t="s">
        <v>40</v>
      </c>
      <c r="J109" t="str">
        <f>"30/03/2016 13:58"</f>
        <v>30/03/2016 13:58</v>
      </c>
      <c r="K109" s="3" t="str">
        <f>"xxxl"</f>
        <v>xxxl</v>
      </c>
      <c r="L109" s="3" t="str">
        <f>"9972872103"</f>
        <v>9972872103</v>
      </c>
      <c r="M109" s="3" t="str">
        <f t="shared" si="2"/>
        <v>Male</v>
      </c>
      <c r="N109" t="s">
        <v>292</v>
      </c>
      <c r="O109" t="s">
        <v>291</v>
      </c>
      <c r="P109" s="9">
        <v>1</v>
      </c>
      <c r="Q109" s="7">
        <v>4500</v>
      </c>
      <c r="R109" s="7">
        <v>4342.5</v>
      </c>
      <c r="S109" s="7">
        <v>157.5</v>
      </c>
      <c r="T109" s="51">
        <v>3.5000000000000003E-2</v>
      </c>
      <c r="U109" s="51">
        <v>0</v>
      </c>
      <c r="V109" s="51">
        <v>0</v>
      </c>
      <c r="W109" s="51">
        <v>0</v>
      </c>
      <c r="X109" s="52" t="s">
        <v>39</v>
      </c>
      <c r="Y109" s="52" t="s">
        <v>287</v>
      </c>
      <c r="Z109" s="52" t="s">
        <v>39</v>
      </c>
    </row>
    <row r="110" spans="1:26" x14ac:dyDescent="0.25">
      <c r="A110" t="s">
        <v>290</v>
      </c>
      <c r="B110" t="s">
        <v>288</v>
      </c>
      <c r="C110" s="3" t="s">
        <v>12</v>
      </c>
      <c r="D110" s="3" t="str">
        <f>"764731459310473109"</f>
        <v>764731459310473109</v>
      </c>
      <c r="E110" s="3" t="s">
        <v>38</v>
      </c>
      <c r="F110" s="9">
        <v>4500</v>
      </c>
      <c r="G110" s="3" t="s">
        <v>39</v>
      </c>
      <c r="H110" s="3" t="s">
        <v>39</v>
      </c>
      <c r="I110" s="3" t="s">
        <v>40</v>
      </c>
      <c r="J110" t="str">
        <f>"30/03/2016 09:34"</f>
        <v>30/03/2016 09:34</v>
      </c>
      <c r="K110" s="3" t="str">
        <f>"small(32)"</f>
        <v>small(32)</v>
      </c>
      <c r="L110" s="3" t="str">
        <f>"8951488208"</f>
        <v>8951488208</v>
      </c>
      <c r="M110" s="3" t="str">
        <f>"Female"</f>
        <v>Female</v>
      </c>
      <c r="N110" t="s">
        <v>289</v>
      </c>
      <c r="O110" t="s">
        <v>288</v>
      </c>
      <c r="P110" s="9">
        <v>1</v>
      </c>
      <c r="Q110" s="7">
        <v>4500</v>
      </c>
      <c r="R110" s="7">
        <v>4342.5</v>
      </c>
      <c r="S110" s="7">
        <v>157.5</v>
      </c>
      <c r="T110" s="51">
        <v>3.5000000000000003E-2</v>
      </c>
      <c r="U110" s="51">
        <v>0</v>
      </c>
      <c r="V110" s="51">
        <v>0</v>
      </c>
      <c r="W110" s="51">
        <v>0</v>
      </c>
      <c r="X110" s="52" t="s">
        <v>39</v>
      </c>
      <c r="Y110" s="52" t="s">
        <v>287</v>
      </c>
      <c r="Z110" s="52" t="s">
        <v>39</v>
      </c>
    </row>
    <row r="111" spans="1:26" x14ac:dyDescent="0.25">
      <c r="A111" t="s">
        <v>349</v>
      </c>
      <c r="B111" t="s">
        <v>348</v>
      </c>
      <c r="C111" s="3" t="s">
        <v>12</v>
      </c>
      <c r="D111" s="3" t="str">
        <f>"034541460024303819"</f>
        <v>034541460024303819</v>
      </c>
      <c r="E111" s="3" t="s">
        <v>38</v>
      </c>
      <c r="F111" s="9">
        <v>4500</v>
      </c>
      <c r="G111" s="3" t="s">
        <v>39</v>
      </c>
      <c r="H111" s="3" t="s">
        <v>39</v>
      </c>
      <c r="I111" s="3" t="s">
        <v>40</v>
      </c>
      <c r="J111" t="str">
        <f>"07/04/2016 15:51"</f>
        <v>07/04/2016 15:51</v>
      </c>
      <c r="K111" s="3" t="str">
        <f>"L"</f>
        <v>L</v>
      </c>
      <c r="L111" s="3" t="str">
        <f>"9448451121"</f>
        <v>9448451121</v>
      </c>
      <c r="M111" s="3" t="str">
        <f t="shared" ref="M111:M122" si="3">"Male"</f>
        <v>Male</v>
      </c>
      <c r="N111" t="s">
        <v>327</v>
      </c>
      <c r="O111" t="s">
        <v>326</v>
      </c>
      <c r="P111" s="9">
        <v>1</v>
      </c>
      <c r="Q111" s="7">
        <v>4500</v>
      </c>
      <c r="R111" s="7">
        <v>4342.5</v>
      </c>
      <c r="S111" s="7">
        <v>157.5</v>
      </c>
      <c r="T111" s="51">
        <v>3.5000000000000003E-2</v>
      </c>
      <c r="U111" s="51">
        <v>0</v>
      </c>
      <c r="V111" s="51">
        <v>0</v>
      </c>
      <c r="W111" s="51">
        <v>0</v>
      </c>
      <c r="X111" s="52" t="s">
        <v>39</v>
      </c>
      <c r="Y111" s="52" t="s">
        <v>325</v>
      </c>
      <c r="Z111" s="52" t="s">
        <v>39</v>
      </c>
    </row>
    <row r="112" spans="1:26" x14ac:dyDescent="0.25">
      <c r="A112" t="s">
        <v>347</v>
      </c>
      <c r="B112" t="s">
        <v>346</v>
      </c>
      <c r="C112" s="3" t="s">
        <v>12</v>
      </c>
      <c r="D112" s="3" t="str">
        <f t="shared" ref="D112:D121" si="4">"167141460022777882"</f>
        <v>167141460022777882</v>
      </c>
      <c r="E112" s="3" t="s">
        <v>38</v>
      </c>
      <c r="F112" s="9">
        <v>4500</v>
      </c>
      <c r="G112" s="3" t="s">
        <v>39</v>
      </c>
      <c r="H112" s="3" t="s">
        <v>39</v>
      </c>
      <c r="I112" s="3" t="s">
        <v>40</v>
      </c>
      <c r="J112" t="str">
        <f t="shared" ref="J112:J121" si="5">"07/04/2016 15:29"</f>
        <v>07/04/2016 15:29</v>
      </c>
      <c r="K112" s="3" t="str">
        <f>"L"</f>
        <v>L</v>
      </c>
      <c r="L112" s="3" t="str">
        <f>"8527997661"</f>
        <v>8527997661</v>
      </c>
      <c r="M112" s="3" t="str">
        <f t="shared" si="3"/>
        <v>Male</v>
      </c>
      <c r="N112" t="s">
        <v>327</v>
      </c>
      <c r="O112" t="s">
        <v>326</v>
      </c>
      <c r="P112" s="9">
        <v>1</v>
      </c>
      <c r="Q112" s="7">
        <v>4500</v>
      </c>
      <c r="R112" s="7">
        <v>4342.5</v>
      </c>
      <c r="S112" s="7">
        <v>157.5</v>
      </c>
      <c r="T112" s="51">
        <v>3.5000000000000003E-2</v>
      </c>
      <c r="U112" s="51">
        <v>0</v>
      </c>
      <c r="V112" s="51">
        <v>0</v>
      </c>
      <c r="W112" s="51">
        <v>0</v>
      </c>
      <c r="X112" s="52" t="s">
        <v>39</v>
      </c>
      <c r="Y112" s="52" t="s">
        <v>325</v>
      </c>
      <c r="Z112" s="52" t="s">
        <v>39</v>
      </c>
    </row>
    <row r="113" spans="1:26" x14ac:dyDescent="0.25">
      <c r="A113" t="s">
        <v>345</v>
      </c>
      <c r="B113" t="s">
        <v>344</v>
      </c>
      <c r="C113" s="3" t="s">
        <v>12</v>
      </c>
      <c r="D113" s="3" t="str">
        <f t="shared" si="4"/>
        <v>167141460022777882</v>
      </c>
      <c r="E113" s="3" t="s">
        <v>38</v>
      </c>
      <c r="F113" s="9">
        <v>4500</v>
      </c>
      <c r="G113" s="3" t="s">
        <v>39</v>
      </c>
      <c r="H113" s="3" t="s">
        <v>39</v>
      </c>
      <c r="I113" s="3" t="s">
        <v>40</v>
      </c>
      <c r="J113" t="str">
        <f t="shared" si="5"/>
        <v>07/04/2016 15:29</v>
      </c>
      <c r="K113" s="3" t="str">
        <f>"M"</f>
        <v>M</v>
      </c>
      <c r="L113" s="3" t="str">
        <f>"9643237975"</f>
        <v>9643237975</v>
      </c>
      <c r="M113" s="3" t="str">
        <f t="shared" si="3"/>
        <v>Male</v>
      </c>
      <c r="N113" t="s">
        <v>327</v>
      </c>
      <c r="O113" t="s">
        <v>326</v>
      </c>
      <c r="P113" s="9">
        <v>1</v>
      </c>
      <c r="Q113" s="7">
        <v>4500</v>
      </c>
      <c r="R113" s="7">
        <v>4342.5</v>
      </c>
      <c r="S113" s="7">
        <v>157.5</v>
      </c>
      <c r="T113" s="51">
        <v>3.5000000000000003E-2</v>
      </c>
      <c r="U113" s="51">
        <v>0</v>
      </c>
      <c r="V113" s="51">
        <v>0</v>
      </c>
      <c r="W113" s="51">
        <v>0</v>
      </c>
      <c r="X113" s="52" t="s">
        <v>39</v>
      </c>
      <c r="Y113" s="52" t="s">
        <v>325</v>
      </c>
      <c r="Z113" s="52" t="s">
        <v>39</v>
      </c>
    </row>
    <row r="114" spans="1:26" x14ac:dyDescent="0.25">
      <c r="A114" t="s">
        <v>343</v>
      </c>
      <c r="B114" t="s">
        <v>342</v>
      </c>
      <c r="C114" s="3" t="s">
        <v>12</v>
      </c>
      <c r="D114" s="3" t="str">
        <f t="shared" si="4"/>
        <v>167141460022777882</v>
      </c>
      <c r="E114" s="3" t="s">
        <v>38</v>
      </c>
      <c r="F114" s="9">
        <v>4500</v>
      </c>
      <c r="G114" s="3" t="s">
        <v>39</v>
      </c>
      <c r="H114" s="3" t="s">
        <v>39</v>
      </c>
      <c r="I114" s="3" t="s">
        <v>40</v>
      </c>
      <c r="J114" t="str">
        <f t="shared" si="5"/>
        <v>07/04/2016 15:29</v>
      </c>
      <c r="K114" s="3" t="str">
        <f>"L"</f>
        <v>L</v>
      </c>
      <c r="L114" s="3" t="str">
        <f t="shared" ref="L114:L121" si="6">"8527997661"</f>
        <v>8527997661</v>
      </c>
      <c r="M114" s="3" t="str">
        <f t="shared" si="3"/>
        <v>Male</v>
      </c>
      <c r="N114" t="s">
        <v>327</v>
      </c>
      <c r="O114" t="s">
        <v>326</v>
      </c>
      <c r="P114" s="9">
        <v>1</v>
      </c>
      <c r="Q114" s="7">
        <v>4500</v>
      </c>
      <c r="R114" s="7">
        <v>4342.5</v>
      </c>
      <c r="S114" s="7">
        <v>157.5</v>
      </c>
      <c r="T114" s="51">
        <v>3.5000000000000003E-2</v>
      </c>
      <c r="U114" s="51">
        <v>0</v>
      </c>
      <c r="V114" s="51">
        <v>0</v>
      </c>
      <c r="W114" s="51">
        <v>0</v>
      </c>
      <c r="X114" s="52" t="s">
        <v>39</v>
      </c>
      <c r="Y114" s="52" t="s">
        <v>325</v>
      </c>
      <c r="Z114" s="52" t="s">
        <v>39</v>
      </c>
    </row>
    <row r="115" spans="1:26" x14ac:dyDescent="0.25">
      <c r="A115" t="s">
        <v>341</v>
      </c>
      <c r="B115" t="s">
        <v>340</v>
      </c>
      <c r="C115" s="3" t="s">
        <v>12</v>
      </c>
      <c r="D115" s="3" t="str">
        <f t="shared" si="4"/>
        <v>167141460022777882</v>
      </c>
      <c r="E115" s="3" t="s">
        <v>38</v>
      </c>
      <c r="F115" s="9">
        <v>4500</v>
      </c>
      <c r="G115" s="3" t="s">
        <v>39</v>
      </c>
      <c r="H115" s="3" t="s">
        <v>39</v>
      </c>
      <c r="I115" s="3" t="s">
        <v>40</v>
      </c>
      <c r="J115" t="str">
        <f t="shared" si="5"/>
        <v>07/04/2016 15:29</v>
      </c>
      <c r="K115" s="3" t="str">
        <f>"XXL"</f>
        <v>XXL</v>
      </c>
      <c r="L115" s="3" t="str">
        <f t="shared" si="6"/>
        <v>8527997661</v>
      </c>
      <c r="M115" s="3" t="str">
        <f t="shared" si="3"/>
        <v>Male</v>
      </c>
      <c r="N115" t="s">
        <v>327</v>
      </c>
      <c r="O115" t="s">
        <v>326</v>
      </c>
      <c r="P115" s="9">
        <v>1</v>
      </c>
      <c r="Q115" s="7">
        <v>4500</v>
      </c>
      <c r="R115" s="7">
        <v>4342.5</v>
      </c>
      <c r="S115" s="7">
        <v>157.5</v>
      </c>
      <c r="T115" s="51">
        <v>3.5000000000000003E-2</v>
      </c>
      <c r="U115" s="51">
        <v>0</v>
      </c>
      <c r="V115" s="51">
        <v>0</v>
      </c>
      <c r="W115" s="51">
        <v>0</v>
      </c>
      <c r="X115" s="52" t="s">
        <v>39</v>
      </c>
      <c r="Y115" s="52" t="s">
        <v>325</v>
      </c>
      <c r="Z115" s="52" t="s">
        <v>39</v>
      </c>
    </row>
    <row r="116" spans="1:26" x14ac:dyDescent="0.25">
      <c r="A116" t="s">
        <v>339</v>
      </c>
      <c r="B116" t="s">
        <v>338</v>
      </c>
      <c r="C116" s="3" t="s">
        <v>12</v>
      </c>
      <c r="D116" s="3" t="str">
        <f t="shared" si="4"/>
        <v>167141460022777882</v>
      </c>
      <c r="E116" s="3" t="s">
        <v>38</v>
      </c>
      <c r="F116" s="9">
        <v>4500</v>
      </c>
      <c r="G116" s="3" t="s">
        <v>39</v>
      </c>
      <c r="H116" s="3" t="s">
        <v>39</v>
      </c>
      <c r="I116" s="3" t="s">
        <v>40</v>
      </c>
      <c r="J116" t="str">
        <f t="shared" si="5"/>
        <v>07/04/2016 15:29</v>
      </c>
      <c r="K116" s="3" t="str">
        <f>"L"</f>
        <v>L</v>
      </c>
      <c r="L116" s="3" t="str">
        <f t="shared" si="6"/>
        <v>8527997661</v>
      </c>
      <c r="M116" s="3" t="str">
        <f t="shared" si="3"/>
        <v>Male</v>
      </c>
      <c r="N116" t="s">
        <v>327</v>
      </c>
      <c r="O116" t="s">
        <v>326</v>
      </c>
      <c r="P116" s="9">
        <v>1</v>
      </c>
      <c r="Q116" s="7">
        <v>4500</v>
      </c>
      <c r="R116" s="7">
        <v>4342.5</v>
      </c>
      <c r="S116" s="7">
        <v>157.5</v>
      </c>
      <c r="T116" s="51">
        <v>3.5000000000000003E-2</v>
      </c>
      <c r="U116" s="51">
        <v>0</v>
      </c>
      <c r="V116" s="51">
        <v>0</v>
      </c>
      <c r="W116" s="51">
        <v>0</v>
      </c>
      <c r="X116" s="52" t="s">
        <v>39</v>
      </c>
      <c r="Y116" s="52" t="s">
        <v>325</v>
      </c>
      <c r="Z116" s="52" t="s">
        <v>39</v>
      </c>
    </row>
    <row r="117" spans="1:26" x14ac:dyDescent="0.25">
      <c r="A117" t="s">
        <v>337</v>
      </c>
      <c r="B117" t="s">
        <v>336</v>
      </c>
      <c r="C117" s="3" t="s">
        <v>12</v>
      </c>
      <c r="D117" s="3" t="str">
        <f t="shared" si="4"/>
        <v>167141460022777882</v>
      </c>
      <c r="E117" s="3" t="s">
        <v>38</v>
      </c>
      <c r="F117" s="9">
        <v>4500</v>
      </c>
      <c r="G117" s="3" t="s">
        <v>39</v>
      </c>
      <c r="H117" s="3" t="s">
        <v>39</v>
      </c>
      <c r="I117" s="3" t="s">
        <v>40</v>
      </c>
      <c r="J117" t="str">
        <f t="shared" si="5"/>
        <v>07/04/2016 15:29</v>
      </c>
      <c r="K117" s="3" t="str">
        <f>"M"</f>
        <v>M</v>
      </c>
      <c r="L117" s="3" t="str">
        <f t="shared" si="6"/>
        <v>8527997661</v>
      </c>
      <c r="M117" s="3" t="str">
        <f t="shared" si="3"/>
        <v>Male</v>
      </c>
      <c r="N117" t="s">
        <v>327</v>
      </c>
      <c r="O117" t="s">
        <v>326</v>
      </c>
      <c r="P117" s="9">
        <v>1</v>
      </c>
      <c r="Q117" s="7">
        <v>4500</v>
      </c>
      <c r="R117" s="7">
        <v>4342.5</v>
      </c>
      <c r="S117" s="7">
        <v>157.5</v>
      </c>
      <c r="T117" s="51">
        <v>3.5000000000000003E-2</v>
      </c>
      <c r="U117" s="51">
        <v>0</v>
      </c>
      <c r="V117" s="51">
        <v>0</v>
      </c>
      <c r="W117" s="51">
        <v>0</v>
      </c>
      <c r="X117" s="52" t="s">
        <v>39</v>
      </c>
      <c r="Y117" s="52" t="s">
        <v>325</v>
      </c>
      <c r="Z117" s="52" t="s">
        <v>39</v>
      </c>
    </row>
    <row r="118" spans="1:26" x14ac:dyDescent="0.25">
      <c r="A118" t="s">
        <v>335</v>
      </c>
      <c r="B118" t="s">
        <v>334</v>
      </c>
      <c r="C118" s="3" t="s">
        <v>12</v>
      </c>
      <c r="D118" s="3" t="str">
        <f t="shared" si="4"/>
        <v>167141460022777882</v>
      </c>
      <c r="E118" s="3" t="s">
        <v>38</v>
      </c>
      <c r="F118" s="9">
        <v>4500</v>
      </c>
      <c r="G118" s="3" t="s">
        <v>39</v>
      </c>
      <c r="H118" s="3" t="s">
        <v>39</v>
      </c>
      <c r="I118" s="3" t="s">
        <v>40</v>
      </c>
      <c r="J118" t="str">
        <f t="shared" si="5"/>
        <v>07/04/2016 15:29</v>
      </c>
      <c r="K118" s="3" t="str">
        <f>"XL"</f>
        <v>XL</v>
      </c>
      <c r="L118" s="3" t="str">
        <f t="shared" si="6"/>
        <v>8527997661</v>
      </c>
      <c r="M118" s="3" t="str">
        <f t="shared" si="3"/>
        <v>Male</v>
      </c>
      <c r="N118" t="s">
        <v>327</v>
      </c>
      <c r="O118" t="s">
        <v>326</v>
      </c>
      <c r="P118" s="9">
        <v>1</v>
      </c>
      <c r="Q118" s="7">
        <v>4500</v>
      </c>
      <c r="R118" s="7">
        <v>4342.5</v>
      </c>
      <c r="S118" s="7">
        <v>157.5</v>
      </c>
      <c r="T118" s="51">
        <v>3.5000000000000003E-2</v>
      </c>
      <c r="U118" s="51">
        <v>0</v>
      </c>
      <c r="V118" s="51">
        <v>0</v>
      </c>
      <c r="W118" s="51">
        <v>0</v>
      </c>
      <c r="X118" s="52" t="s">
        <v>39</v>
      </c>
      <c r="Y118" s="52" t="s">
        <v>325</v>
      </c>
      <c r="Z118" s="52" t="s">
        <v>39</v>
      </c>
    </row>
    <row r="119" spans="1:26" x14ac:dyDescent="0.25">
      <c r="A119" t="s">
        <v>333</v>
      </c>
      <c r="B119" t="s">
        <v>332</v>
      </c>
      <c r="C119" s="3" t="s">
        <v>12</v>
      </c>
      <c r="D119" s="3" t="str">
        <f t="shared" si="4"/>
        <v>167141460022777882</v>
      </c>
      <c r="E119" s="3" t="s">
        <v>38</v>
      </c>
      <c r="F119" s="9">
        <v>4500</v>
      </c>
      <c r="G119" s="3" t="s">
        <v>39</v>
      </c>
      <c r="H119" s="3" t="s">
        <v>39</v>
      </c>
      <c r="I119" s="3" t="s">
        <v>40</v>
      </c>
      <c r="J119" t="str">
        <f t="shared" si="5"/>
        <v>07/04/2016 15:29</v>
      </c>
      <c r="K119" s="3" t="str">
        <f>"M"</f>
        <v>M</v>
      </c>
      <c r="L119" s="3" t="str">
        <f t="shared" si="6"/>
        <v>8527997661</v>
      </c>
      <c r="M119" s="3" t="str">
        <f t="shared" si="3"/>
        <v>Male</v>
      </c>
      <c r="N119" t="s">
        <v>327</v>
      </c>
      <c r="O119" t="s">
        <v>326</v>
      </c>
      <c r="P119" s="9">
        <v>1</v>
      </c>
      <c r="Q119" s="7">
        <v>4500</v>
      </c>
      <c r="R119" s="7">
        <v>4342.5</v>
      </c>
      <c r="S119" s="7">
        <v>157.5</v>
      </c>
      <c r="T119" s="51">
        <v>3.5000000000000003E-2</v>
      </c>
      <c r="U119" s="51">
        <v>0</v>
      </c>
      <c r="V119" s="51">
        <v>0</v>
      </c>
      <c r="W119" s="51">
        <v>0</v>
      </c>
      <c r="X119" s="52" t="s">
        <v>39</v>
      </c>
      <c r="Y119" s="52" t="s">
        <v>325</v>
      </c>
      <c r="Z119" s="52" t="s">
        <v>39</v>
      </c>
    </row>
    <row r="120" spans="1:26" x14ac:dyDescent="0.25">
      <c r="A120" t="s">
        <v>331</v>
      </c>
      <c r="B120" t="s">
        <v>330</v>
      </c>
      <c r="C120" s="3" t="s">
        <v>12</v>
      </c>
      <c r="D120" s="3" t="str">
        <f t="shared" si="4"/>
        <v>167141460022777882</v>
      </c>
      <c r="E120" s="3" t="s">
        <v>38</v>
      </c>
      <c r="F120" s="9">
        <v>4500</v>
      </c>
      <c r="G120" s="3" t="s">
        <v>39</v>
      </c>
      <c r="H120" s="3" t="s">
        <v>39</v>
      </c>
      <c r="I120" s="3" t="s">
        <v>40</v>
      </c>
      <c r="J120" t="str">
        <f t="shared" si="5"/>
        <v>07/04/2016 15:29</v>
      </c>
      <c r="K120" s="3" t="str">
        <f>"L"</f>
        <v>L</v>
      </c>
      <c r="L120" s="3" t="str">
        <f t="shared" si="6"/>
        <v>8527997661</v>
      </c>
      <c r="M120" s="3" t="str">
        <f t="shared" si="3"/>
        <v>Male</v>
      </c>
      <c r="N120" t="s">
        <v>327</v>
      </c>
      <c r="O120" t="s">
        <v>326</v>
      </c>
      <c r="P120" s="9">
        <v>1</v>
      </c>
      <c r="Q120" s="7">
        <v>4500</v>
      </c>
      <c r="R120" s="7">
        <v>4342.5</v>
      </c>
      <c r="S120" s="7">
        <v>157.5</v>
      </c>
      <c r="T120" s="51">
        <v>3.5000000000000003E-2</v>
      </c>
      <c r="U120" s="51">
        <v>0</v>
      </c>
      <c r="V120" s="51">
        <v>0</v>
      </c>
      <c r="W120" s="51">
        <v>0</v>
      </c>
      <c r="X120" s="52" t="s">
        <v>39</v>
      </c>
      <c r="Y120" s="52" t="s">
        <v>325</v>
      </c>
      <c r="Z120" s="52" t="s">
        <v>39</v>
      </c>
    </row>
    <row r="121" spans="1:26" x14ac:dyDescent="0.25">
      <c r="A121" t="s">
        <v>329</v>
      </c>
      <c r="B121" t="s">
        <v>328</v>
      </c>
      <c r="C121" s="3" t="s">
        <v>12</v>
      </c>
      <c r="D121" s="3" t="str">
        <f t="shared" si="4"/>
        <v>167141460022777882</v>
      </c>
      <c r="E121" s="3" t="s">
        <v>38</v>
      </c>
      <c r="F121" s="9">
        <v>4500</v>
      </c>
      <c r="G121" s="3" t="s">
        <v>39</v>
      </c>
      <c r="H121" s="3" t="s">
        <v>39</v>
      </c>
      <c r="I121" s="3" t="s">
        <v>40</v>
      </c>
      <c r="J121" t="str">
        <f t="shared" si="5"/>
        <v>07/04/2016 15:29</v>
      </c>
      <c r="K121" s="3" t="str">
        <f>"L"</f>
        <v>L</v>
      </c>
      <c r="L121" s="3" t="str">
        <f t="shared" si="6"/>
        <v>8527997661</v>
      </c>
      <c r="M121" s="3" t="str">
        <f t="shared" si="3"/>
        <v>Male</v>
      </c>
      <c r="N121" t="s">
        <v>327</v>
      </c>
      <c r="O121" t="s">
        <v>326</v>
      </c>
      <c r="P121" s="9">
        <v>1</v>
      </c>
      <c r="Q121" s="7">
        <v>4500</v>
      </c>
      <c r="R121" s="7">
        <v>4342.5</v>
      </c>
      <c r="S121" s="7">
        <v>157.5</v>
      </c>
      <c r="T121" s="51">
        <v>3.5000000000000003E-2</v>
      </c>
      <c r="U121" s="51">
        <v>0</v>
      </c>
      <c r="V121" s="51">
        <v>0</v>
      </c>
      <c r="W121" s="51">
        <v>0</v>
      </c>
      <c r="X121" s="52" t="s">
        <v>39</v>
      </c>
      <c r="Y121" s="52" t="s">
        <v>325</v>
      </c>
      <c r="Z121" s="52" t="s">
        <v>39</v>
      </c>
    </row>
    <row r="122" spans="1:26" x14ac:dyDescent="0.25">
      <c r="A122" s="50" t="s">
        <v>352</v>
      </c>
      <c r="B122" s="50" t="s">
        <v>351</v>
      </c>
      <c r="C122" s="52" t="s">
        <v>12</v>
      </c>
      <c r="D122" s="52" t="str">
        <f>"321311460052552422"</f>
        <v>321311460052552422</v>
      </c>
      <c r="E122" s="52" t="s">
        <v>38</v>
      </c>
      <c r="F122" s="9">
        <v>4500</v>
      </c>
      <c r="G122" s="52" t="s">
        <v>39</v>
      </c>
      <c r="H122" s="52" t="s">
        <v>39</v>
      </c>
      <c r="I122" s="52" t="s">
        <v>40</v>
      </c>
      <c r="J122" s="50" t="str">
        <f>"07/04/2016 23:42"</f>
        <v>07/04/2016 23:42</v>
      </c>
      <c r="K122" s="52" t="str">
        <f>"M"</f>
        <v>M</v>
      </c>
      <c r="L122" s="52" t="str">
        <f>"+919035956103"</f>
        <v>+919035956103</v>
      </c>
      <c r="M122" s="52" t="str">
        <f t="shared" si="3"/>
        <v>Male</v>
      </c>
      <c r="N122" s="50" t="s">
        <v>352</v>
      </c>
      <c r="O122" s="50" t="s">
        <v>351</v>
      </c>
      <c r="P122" s="9">
        <v>1</v>
      </c>
      <c r="Q122" s="7">
        <v>4500</v>
      </c>
      <c r="R122" s="7">
        <v>4342.5</v>
      </c>
      <c r="S122" s="7">
        <v>157.5</v>
      </c>
      <c r="T122" s="51">
        <v>3.5000000000000003E-2</v>
      </c>
      <c r="U122" s="51">
        <v>0</v>
      </c>
      <c r="V122" s="51">
        <v>0</v>
      </c>
      <c r="W122" s="51">
        <v>0</v>
      </c>
      <c r="X122" s="52" t="s">
        <v>39</v>
      </c>
      <c r="Y122" s="52" t="s">
        <v>350</v>
      </c>
      <c r="Z122" s="52" t="s">
        <v>39</v>
      </c>
    </row>
    <row r="123" spans="1:26" x14ac:dyDescent="0.25">
      <c r="A123" s="50" t="s">
        <v>353</v>
      </c>
      <c r="B123" s="50" t="s">
        <v>354</v>
      </c>
      <c r="C123" s="52" t="s">
        <v>12</v>
      </c>
      <c r="D123" s="52" t="str">
        <f>"125441460172697836"</f>
        <v>125441460172697836</v>
      </c>
      <c r="E123" s="52" t="s">
        <v>38</v>
      </c>
      <c r="F123" s="9">
        <v>4500</v>
      </c>
      <c r="G123" s="52" t="s">
        <v>39</v>
      </c>
      <c r="H123" s="52" t="s">
        <v>39</v>
      </c>
      <c r="I123" s="52" t="s">
        <v>40</v>
      </c>
      <c r="J123" s="50" t="str">
        <f>"09/04/2016 09:04"</f>
        <v>09/04/2016 09:04</v>
      </c>
      <c r="K123" s="52" t="str">
        <f>"XL"</f>
        <v>XL</v>
      </c>
      <c r="L123" s="52" t="str">
        <f>"9886928862"</f>
        <v>9886928862</v>
      </c>
      <c r="M123" s="52" t="str">
        <f t="shared" ref="M123" si="7">"Male"</f>
        <v>Male</v>
      </c>
      <c r="N123" s="50" t="s">
        <v>353</v>
      </c>
      <c r="O123" s="50" t="s">
        <v>354</v>
      </c>
      <c r="P123" s="9">
        <v>1</v>
      </c>
      <c r="Q123" s="7">
        <v>4500</v>
      </c>
      <c r="R123" s="7">
        <v>4342.5</v>
      </c>
      <c r="S123" s="7">
        <v>157.5</v>
      </c>
      <c r="T123" s="51">
        <v>3.5000000000000003E-2</v>
      </c>
      <c r="U123" s="51">
        <v>0</v>
      </c>
      <c r="V123" s="51">
        <v>0</v>
      </c>
      <c r="W123" s="51">
        <v>0</v>
      </c>
      <c r="X123" s="52" t="s">
        <v>39</v>
      </c>
      <c r="Y123" s="52" t="s">
        <v>355</v>
      </c>
      <c r="Z123" s="52" t="s">
        <v>39</v>
      </c>
    </row>
    <row r="124" spans="1:26" x14ac:dyDescent="0.25">
      <c r="A124" t="s">
        <v>363</v>
      </c>
      <c r="B124" t="s">
        <v>360</v>
      </c>
      <c r="C124" s="3" t="s">
        <v>359</v>
      </c>
      <c r="D124" s="3" t="str">
        <f>"255771460637630869"</f>
        <v>255771460637630869</v>
      </c>
      <c r="E124" s="3" t="s">
        <v>38</v>
      </c>
      <c r="F124" s="9">
        <v>4500</v>
      </c>
      <c r="G124" s="3" t="s">
        <v>260</v>
      </c>
      <c r="H124" s="3" t="s">
        <v>362</v>
      </c>
      <c r="I124" s="3" t="s">
        <v>40</v>
      </c>
      <c r="J124" t="str">
        <f>"14/04/2016 18:13"</f>
        <v>14/04/2016 18:13</v>
      </c>
      <c r="K124" s="3" t="s">
        <v>39</v>
      </c>
      <c r="L124" s="3" t="s">
        <v>39</v>
      </c>
      <c r="M124" t="str">
        <f>""</f>
        <v/>
      </c>
      <c r="N124" t="s">
        <v>361</v>
      </c>
      <c r="O124" t="s">
        <v>360</v>
      </c>
      <c r="P124" s="9">
        <v>1</v>
      </c>
      <c r="Q124" s="53">
        <v>4500</v>
      </c>
      <c r="R124" s="53">
        <v>4342.5</v>
      </c>
      <c r="S124" s="53">
        <v>157.5</v>
      </c>
      <c r="T124" s="51">
        <v>3.5000000000000003E-2</v>
      </c>
      <c r="U124" s="51">
        <v>0</v>
      </c>
      <c r="V124" s="51">
        <v>0</v>
      </c>
      <c r="W124" s="51">
        <v>0</v>
      </c>
      <c r="X124" s="52" t="s">
        <v>39</v>
      </c>
      <c r="Y124" s="52" t="s">
        <v>356</v>
      </c>
      <c r="Z124" s="52" t="s">
        <v>39</v>
      </c>
    </row>
    <row r="125" spans="1:26" x14ac:dyDescent="0.25">
      <c r="A125" t="s">
        <v>358</v>
      </c>
      <c r="B125" t="s">
        <v>357</v>
      </c>
      <c r="C125" s="3" t="s">
        <v>359</v>
      </c>
      <c r="D125" s="3" t="str">
        <f>"412321460538653469"</f>
        <v>412321460538653469</v>
      </c>
      <c r="E125" s="3" t="s">
        <v>38</v>
      </c>
      <c r="F125" s="9">
        <v>6000</v>
      </c>
      <c r="G125" s="3" t="s">
        <v>39</v>
      </c>
      <c r="H125" s="3" t="s">
        <v>39</v>
      </c>
      <c r="I125" s="3" t="s">
        <v>40</v>
      </c>
      <c r="J125" t="str">
        <f>"13/04/2016 14:45"</f>
        <v>13/04/2016 14:45</v>
      </c>
      <c r="K125" s="3" t="s">
        <v>39</v>
      </c>
      <c r="L125" s="3" t="s">
        <v>39</v>
      </c>
      <c r="M125" t="str">
        <f>""</f>
        <v/>
      </c>
      <c r="N125" t="s">
        <v>358</v>
      </c>
      <c r="O125" t="s">
        <v>357</v>
      </c>
      <c r="P125" s="9">
        <v>1</v>
      </c>
      <c r="Q125" s="53">
        <v>6000</v>
      </c>
      <c r="R125" s="53">
        <v>5790</v>
      </c>
      <c r="S125" s="53">
        <v>210</v>
      </c>
      <c r="T125" s="51">
        <v>3.5000000000000003E-2</v>
      </c>
      <c r="U125" s="51">
        <v>0</v>
      </c>
      <c r="V125" s="51">
        <v>0</v>
      </c>
      <c r="W125" s="51">
        <v>0</v>
      </c>
      <c r="X125" s="52" t="s">
        <v>39</v>
      </c>
      <c r="Y125" s="52" t="s">
        <v>356</v>
      </c>
      <c r="Z125" s="52" t="s">
        <v>39</v>
      </c>
    </row>
    <row r="126" spans="1:26" x14ac:dyDescent="0.25">
      <c r="A126" t="s">
        <v>364</v>
      </c>
      <c r="B126" t="s">
        <v>365</v>
      </c>
      <c r="C126" s="3" t="s">
        <v>359</v>
      </c>
      <c r="D126" t="str">
        <f>"167401461085067559"</f>
        <v>167401461085067559</v>
      </c>
      <c r="E126" s="3" t="s">
        <v>38</v>
      </c>
      <c r="F126" s="9">
        <v>6000</v>
      </c>
      <c r="G126" s="3" t="s">
        <v>39</v>
      </c>
      <c r="H126" s="3" t="s">
        <v>39</v>
      </c>
      <c r="I126" s="3" t="s">
        <v>40</v>
      </c>
      <c r="J126" t="str">
        <f>"19/04/2016 22:30"</f>
        <v>19/04/2016 22:30</v>
      </c>
      <c r="K126" s="3" t="s">
        <v>39</v>
      </c>
      <c r="L126" s="3" t="s">
        <v>39</v>
      </c>
      <c r="M126" t="str">
        <f>""</f>
        <v/>
      </c>
      <c r="N126" t="s">
        <v>364</v>
      </c>
      <c r="O126" t="s">
        <v>365</v>
      </c>
      <c r="P126" s="9">
        <v>1</v>
      </c>
      <c r="Q126" s="53">
        <v>6000</v>
      </c>
      <c r="R126" s="53">
        <v>5790</v>
      </c>
      <c r="S126" s="53">
        <v>210</v>
      </c>
      <c r="T126" s="51">
        <v>3.5000000000000003E-2</v>
      </c>
      <c r="U126" s="51">
        <v>0</v>
      </c>
      <c r="V126" s="51">
        <v>0</v>
      </c>
      <c r="W126" s="51">
        <v>0</v>
      </c>
      <c r="X126" s="52" t="s">
        <v>39</v>
      </c>
      <c r="Y126" s="52" t="s">
        <v>366</v>
      </c>
      <c r="Z126" s="52" t="s">
        <v>39</v>
      </c>
    </row>
    <row r="127" spans="1:26" x14ac:dyDescent="0.25">
      <c r="A127" t="s">
        <v>424</v>
      </c>
      <c r="B127" t="s">
        <v>425</v>
      </c>
      <c r="C127" s="3" t="s">
        <v>359</v>
      </c>
      <c r="D127" s="3" t="str">
        <f>"276441462532882102"</f>
        <v>276441462532882102</v>
      </c>
      <c r="E127" s="3" t="s">
        <v>38</v>
      </c>
      <c r="F127" s="9">
        <v>6000</v>
      </c>
      <c r="G127" s="3" t="s">
        <v>39</v>
      </c>
      <c r="H127" s="3" t="s">
        <v>39</v>
      </c>
      <c r="I127" s="3" t="s">
        <v>40</v>
      </c>
      <c r="J127" t="str">
        <f>"06/05/2016 16:42"</f>
        <v>06/05/2016 16:42</v>
      </c>
      <c r="K127" s="3" t="s">
        <v>39</v>
      </c>
      <c r="L127" s="3" t="s">
        <v>39</v>
      </c>
      <c r="M127" t="str">
        <f>""</f>
        <v/>
      </c>
      <c r="N127" t="s">
        <v>424</v>
      </c>
      <c r="O127" t="s">
        <v>425</v>
      </c>
      <c r="P127" s="9">
        <v>1</v>
      </c>
      <c r="Q127" s="7">
        <v>6000</v>
      </c>
      <c r="R127" s="54">
        <v>5790</v>
      </c>
      <c r="S127" s="7">
        <v>210</v>
      </c>
      <c r="T127" s="11">
        <v>3.5000000000000003E-2</v>
      </c>
      <c r="U127" s="11">
        <v>0</v>
      </c>
      <c r="V127" s="11">
        <v>0</v>
      </c>
      <c r="W127" s="11">
        <v>0</v>
      </c>
      <c r="X127" s="3" t="s">
        <v>39</v>
      </c>
      <c r="Y127" s="3" t="s">
        <v>397</v>
      </c>
      <c r="Z127" s="3" t="s">
        <v>39</v>
      </c>
    </row>
    <row r="128" spans="1:26" x14ac:dyDescent="0.25">
      <c r="A128" t="s">
        <v>422</v>
      </c>
      <c r="B128" t="s">
        <v>423</v>
      </c>
      <c r="C128" s="3" t="s">
        <v>359</v>
      </c>
      <c r="D128" s="3" t="str">
        <f>"507651462533215588"</f>
        <v>507651462533215588</v>
      </c>
      <c r="E128" s="3" t="s">
        <v>38</v>
      </c>
      <c r="F128" s="9">
        <v>6000</v>
      </c>
      <c r="G128" s="3" t="s">
        <v>39</v>
      </c>
      <c r="H128" s="3" t="s">
        <v>39</v>
      </c>
      <c r="I128" s="3" t="s">
        <v>40</v>
      </c>
      <c r="J128" t="str">
        <f>"06/05/2016 16:48"</f>
        <v>06/05/2016 16:48</v>
      </c>
      <c r="K128" s="3" t="s">
        <v>39</v>
      </c>
      <c r="L128" s="3" t="s">
        <v>39</v>
      </c>
      <c r="M128" t="str">
        <f>""</f>
        <v/>
      </c>
      <c r="N128" t="s">
        <v>422</v>
      </c>
      <c r="O128" t="s">
        <v>423</v>
      </c>
      <c r="P128" s="9">
        <v>1</v>
      </c>
      <c r="Q128" s="7">
        <v>6000</v>
      </c>
      <c r="R128" s="54">
        <v>5790</v>
      </c>
      <c r="S128" s="7">
        <v>210</v>
      </c>
      <c r="T128" s="11">
        <v>3.5000000000000003E-2</v>
      </c>
      <c r="U128" s="11">
        <v>0</v>
      </c>
      <c r="V128" s="11">
        <v>0</v>
      </c>
      <c r="W128" s="11">
        <v>0</v>
      </c>
      <c r="X128" s="3" t="s">
        <v>39</v>
      </c>
      <c r="Y128" s="3" t="s">
        <v>397</v>
      </c>
      <c r="Z128" s="3" t="s">
        <v>39</v>
      </c>
    </row>
    <row r="129" spans="1:26" x14ac:dyDescent="0.25">
      <c r="A129" t="s">
        <v>405</v>
      </c>
      <c r="B129" t="s">
        <v>406</v>
      </c>
      <c r="C129" s="3" t="s">
        <v>359</v>
      </c>
      <c r="D129" s="3" t="str">
        <f>"523131463414837248"</f>
        <v>523131463414837248</v>
      </c>
      <c r="E129" s="3" t="s">
        <v>38</v>
      </c>
      <c r="F129" s="9">
        <v>6000</v>
      </c>
      <c r="G129" s="3" t="s">
        <v>39</v>
      </c>
      <c r="H129" s="3" t="s">
        <v>39</v>
      </c>
      <c r="I129" s="3" t="s">
        <v>40</v>
      </c>
      <c r="J129" t="str">
        <f>"16/05/2016 21:40"</f>
        <v>16/05/2016 21:40</v>
      </c>
      <c r="K129" s="3" t="s">
        <v>39</v>
      </c>
      <c r="L129" s="3" t="s">
        <v>39</v>
      </c>
      <c r="M129" t="str">
        <f>""</f>
        <v/>
      </c>
      <c r="N129" t="s">
        <v>405</v>
      </c>
      <c r="O129" t="s">
        <v>406</v>
      </c>
      <c r="P129" s="9">
        <v>1</v>
      </c>
      <c r="Q129" s="7">
        <v>6000</v>
      </c>
      <c r="R129" s="54">
        <v>5790</v>
      </c>
      <c r="S129" s="7">
        <v>210</v>
      </c>
      <c r="T129" s="11">
        <v>3.5000000000000003E-2</v>
      </c>
      <c r="U129" s="11">
        <v>0</v>
      </c>
      <c r="V129" s="11">
        <v>0</v>
      </c>
      <c r="W129" s="11">
        <v>0</v>
      </c>
      <c r="X129" s="3" t="s">
        <v>39</v>
      </c>
      <c r="Y129" s="3" t="s">
        <v>397</v>
      </c>
      <c r="Z129" s="3" t="s">
        <v>39</v>
      </c>
    </row>
    <row r="130" spans="1:26" x14ac:dyDescent="0.25">
      <c r="A130" t="s">
        <v>403</v>
      </c>
      <c r="B130" t="s">
        <v>404</v>
      </c>
      <c r="C130" s="3" t="s">
        <v>359</v>
      </c>
      <c r="D130" s="3" t="str">
        <f>"225671463586728443"</f>
        <v>225671463586728443</v>
      </c>
      <c r="E130" s="3" t="s">
        <v>38</v>
      </c>
      <c r="F130" s="9">
        <v>6000</v>
      </c>
      <c r="G130" s="3" t="s">
        <v>39</v>
      </c>
      <c r="H130" s="3" t="s">
        <v>39</v>
      </c>
      <c r="I130" s="3" t="s">
        <v>40</v>
      </c>
      <c r="J130" t="str">
        <f>"18/05/2016 21:22"</f>
        <v>18/05/2016 21:22</v>
      </c>
      <c r="K130" s="3" t="s">
        <v>39</v>
      </c>
      <c r="L130" s="3" t="s">
        <v>39</v>
      </c>
      <c r="M130" t="str">
        <f>""</f>
        <v/>
      </c>
      <c r="N130" t="s">
        <v>403</v>
      </c>
      <c r="O130" t="s">
        <v>404</v>
      </c>
      <c r="P130" s="9">
        <v>1</v>
      </c>
      <c r="Q130" s="7">
        <v>6000</v>
      </c>
      <c r="R130" s="54">
        <v>5790</v>
      </c>
      <c r="S130" s="7">
        <v>210</v>
      </c>
      <c r="T130" s="11">
        <v>3.5000000000000003E-2</v>
      </c>
      <c r="U130" s="11">
        <v>0</v>
      </c>
      <c r="V130" s="11">
        <v>0</v>
      </c>
      <c r="W130" s="11">
        <v>0</v>
      </c>
      <c r="X130" s="3" t="s">
        <v>39</v>
      </c>
      <c r="Y130" s="3" t="s">
        <v>397</v>
      </c>
      <c r="Z130" s="3" t="s">
        <v>39</v>
      </c>
    </row>
    <row r="131" spans="1:26" x14ac:dyDescent="0.25">
      <c r="A131" t="s">
        <v>400</v>
      </c>
      <c r="B131" t="s">
        <v>401</v>
      </c>
      <c r="C131" s="3" t="s">
        <v>359</v>
      </c>
      <c r="D131" s="3" t="str">
        <f>"430311463631077943"</f>
        <v>430311463631077943</v>
      </c>
      <c r="E131" s="3" t="s">
        <v>38</v>
      </c>
      <c r="F131" s="9">
        <v>4020</v>
      </c>
      <c r="G131" s="3" t="s">
        <v>260</v>
      </c>
      <c r="H131" s="3" t="s">
        <v>402</v>
      </c>
      <c r="I131" s="3" t="s">
        <v>40</v>
      </c>
      <c r="J131" t="str">
        <f>"19/05/2016 09:44"</f>
        <v>19/05/2016 09:44</v>
      </c>
      <c r="K131" s="3" t="s">
        <v>39</v>
      </c>
      <c r="L131" s="3" t="s">
        <v>39</v>
      </c>
      <c r="M131" t="str">
        <f>""</f>
        <v/>
      </c>
      <c r="N131" t="s">
        <v>400</v>
      </c>
      <c r="O131" t="s">
        <v>401</v>
      </c>
      <c r="P131" s="9">
        <v>1</v>
      </c>
      <c r="Q131" s="7">
        <v>4020</v>
      </c>
      <c r="R131" s="54">
        <v>3879.3</v>
      </c>
      <c r="S131" s="7">
        <v>140.69999999999999</v>
      </c>
      <c r="T131" s="11">
        <v>3.5000000000000003E-2</v>
      </c>
      <c r="U131" s="11">
        <v>0</v>
      </c>
      <c r="V131" s="11">
        <v>0</v>
      </c>
      <c r="W131" s="11">
        <v>0</v>
      </c>
      <c r="X131" s="3" t="s">
        <v>39</v>
      </c>
      <c r="Y131" s="3" t="s">
        <v>397</v>
      </c>
      <c r="Z131" s="3" t="s">
        <v>39</v>
      </c>
    </row>
    <row r="132" spans="1:26" x14ac:dyDescent="0.25">
      <c r="A132" t="s">
        <v>398</v>
      </c>
      <c r="B132" t="s">
        <v>399</v>
      </c>
      <c r="C132" s="3" t="s">
        <v>359</v>
      </c>
      <c r="D132" s="3" t="str">
        <f>"422061463674328460"</f>
        <v>422061463674328460</v>
      </c>
      <c r="E132" s="3" t="s">
        <v>38</v>
      </c>
      <c r="F132" s="9">
        <v>6000</v>
      </c>
      <c r="G132" s="3" t="s">
        <v>39</v>
      </c>
      <c r="H132" s="3" t="s">
        <v>39</v>
      </c>
      <c r="I132" s="3" t="s">
        <v>40</v>
      </c>
      <c r="J132" t="str">
        <f>"19/05/2016 21:44"</f>
        <v>19/05/2016 21:44</v>
      </c>
      <c r="K132" s="3" t="s">
        <v>39</v>
      </c>
      <c r="L132" s="3" t="s">
        <v>39</v>
      </c>
      <c r="M132" t="str">
        <f>""</f>
        <v/>
      </c>
      <c r="N132" t="s">
        <v>398</v>
      </c>
      <c r="O132" t="s">
        <v>399</v>
      </c>
      <c r="P132" s="9">
        <v>1</v>
      </c>
      <c r="Q132" s="7">
        <v>6000</v>
      </c>
      <c r="R132" s="54">
        <v>5790</v>
      </c>
      <c r="S132" s="7">
        <v>210</v>
      </c>
      <c r="T132" s="11">
        <v>3.5000000000000003E-2</v>
      </c>
      <c r="U132" s="11">
        <v>0</v>
      </c>
      <c r="V132" s="11">
        <v>0</v>
      </c>
      <c r="W132" s="11">
        <v>0</v>
      </c>
      <c r="X132" s="3" t="s">
        <v>39</v>
      </c>
      <c r="Y132" s="3" t="s">
        <v>397</v>
      </c>
      <c r="Z132" s="3" t="s">
        <v>39</v>
      </c>
    </row>
    <row r="133" spans="1:26" x14ac:dyDescent="0.25">
      <c r="A133" t="s">
        <v>393</v>
      </c>
      <c r="B133" t="s">
        <v>394</v>
      </c>
      <c r="C133" s="3" t="s">
        <v>359</v>
      </c>
      <c r="D133" s="3" t="str">
        <f>"307561463991462629"</f>
        <v>307561463991462629</v>
      </c>
      <c r="E133" s="3" t="s">
        <v>38</v>
      </c>
      <c r="F133" s="9">
        <v>6000</v>
      </c>
      <c r="G133" s="3" t="s">
        <v>39</v>
      </c>
      <c r="H133" s="3" t="s">
        <v>39</v>
      </c>
      <c r="I133" s="3" t="s">
        <v>40</v>
      </c>
      <c r="J133" t="str">
        <f>"23/05/2016 13:49"</f>
        <v>23/05/2016 13:49</v>
      </c>
      <c r="K133" s="3" t="s">
        <v>39</v>
      </c>
      <c r="L133" s="3" t="s">
        <v>39</v>
      </c>
      <c r="M133" t="str">
        <f>""</f>
        <v/>
      </c>
      <c r="N133" t="s">
        <v>395</v>
      </c>
      <c r="O133" t="s">
        <v>396</v>
      </c>
      <c r="P133" s="9">
        <v>1</v>
      </c>
      <c r="Q133" s="7">
        <v>6000</v>
      </c>
      <c r="R133" s="54">
        <v>5790</v>
      </c>
      <c r="S133" s="7">
        <v>210</v>
      </c>
      <c r="T133" s="11">
        <v>3.5000000000000003E-2</v>
      </c>
      <c r="U133" s="11">
        <v>0</v>
      </c>
      <c r="V133" s="11">
        <v>0</v>
      </c>
      <c r="W133" s="11">
        <v>0</v>
      </c>
      <c r="X133" s="3" t="s">
        <v>39</v>
      </c>
      <c r="Y133" s="3" t="s">
        <v>397</v>
      </c>
      <c r="Z133" s="3" t="s">
        <v>39</v>
      </c>
    </row>
    <row r="134" spans="1:26" x14ac:dyDescent="0.25">
      <c r="A134" t="s">
        <v>395</v>
      </c>
      <c r="B134" t="s">
        <v>396</v>
      </c>
      <c r="C134" s="3" t="s">
        <v>359</v>
      </c>
      <c r="D134" s="3" t="str">
        <f>"307561463991462629"</f>
        <v>307561463991462629</v>
      </c>
      <c r="E134" s="3" t="s">
        <v>38</v>
      </c>
      <c r="F134" s="9">
        <v>6000</v>
      </c>
      <c r="G134" s="3" t="s">
        <v>39</v>
      </c>
      <c r="H134" s="3" t="s">
        <v>39</v>
      </c>
      <c r="I134" s="3" t="s">
        <v>40</v>
      </c>
      <c r="J134" t="str">
        <f>"23/05/2016 13:49"</f>
        <v>23/05/2016 13:49</v>
      </c>
      <c r="K134" s="3" t="s">
        <v>39</v>
      </c>
      <c r="L134" s="3" t="s">
        <v>39</v>
      </c>
      <c r="M134" t="str">
        <f>""</f>
        <v/>
      </c>
      <c r="N134" t="s">
        <v>395</v>
      </c>
      <c r="O134" t="s">
        <v>396</v>
      </c>
      <c r="P134" s="9">
        <v>1</v>
      </c>
      <c r="Q134" s="7">
        <v>6000</v>
      </c>
      <c r="R134" s="54">
        <v>5790</v>
      </c>
      <c r="S134" s="7">
        <v>210</v>
      </c>
      <c r="T134" s="11">
        <v>3.5000000000000003E-2</v>
      </c>
      <c r="U134" s="11">
        <v>0</v>
      </c>
      <c r="V134" s="11">
        <v>0</v>
      </c>
      <c r="W134" s="11">
        <v>0</v>
      </c>
      <c r="X134" s="3" t="s">
        <v>39</v>
      </c>
      <c r="Y134" s="3" t="s">
        <v>397</v>
      </c>
      <c r="Z134" s="3" t="s">
        <v>39</v>
      </c>
    </row>
    <row r="135" spans="1:26" x14ac:dyDescent="0.25">
      <c r="A135" t="s">
        <v>407</v>
      </c>
      <c r="B135" t="s">
        <v>408</v>
      </c>
      <c r="C135" s="3" t="s">
        <v>409</v>
      </c>
      <c r="D135" s="3" t="str">
        <f t="shared" ref="D135:D140" si="8">"262061462964216396"</f>
        <v>262061462964216396</v>
      </c>
      <c r="E135" s="3" t="s">
        <v>38</v>
      </c>
      <c r="F135" s="9">
        <v>38133</v>
      </c>
      <c r="G135" s="3" t="s">
        <v>410</v>
      </c>
      <c r="H135" s="3" t="s">
        <v>411</v>
      </c>
      <c r="I135" s="3" t="s">
        <v>40</v>
      </c>
      <c r="J135" t="str">
        <f t="shared" ref="J135:J140" si="9">"11/05/2016 16:31"</f>
        <v>11/05/2016 16:31</v>
      </c>
      <c r="K135" s="3" t="s">
        <v>39</v>
      </c>
      <c r="L135" s="3" t="s">
        <v>39</v>
      </c>
      <c r="M135" t="str">
        <f>""</f>
        <v/>
      </c>
      <c r="N135" t="s">
        <v>407</v>
      </c>
      <c r="O135" t="s">
        <v>408</v>
      </c>
      <c r="P135" s="9">
        <v>1</v>
      </c>
      <c r="Q135" s="7">
        <v>38133</v>
      </c>
      <c r="R135" s="54">
        <v>36798.35</v>
      </c>
      <c r="S135" s="7">
        <v>1334.65</v>
      </c>
      <c r="T135" s="11">
        <v>3.5000000000000003E-2</v>
      </c>
      <c r="U135" s="11">
        <v>0</v>
      </c>
      <c r="V135" s="11">
        <v>0</v>
      </c>
      <c r="W135" s="11">
        <v>0</v>
      </c>
      <c r="X135" s="3" t="s">
        <v>39</v>
      </c>
      <c r="Y135" s="3" t="s">
        <v>390</v>
      </c>
      <c r="Z135" s="3" t="s">
        <v>39</v>
      </c>
    </row>
    <row r="136" spans="1:26" x14ac:dyDescent="0.25">
      <c r="A136" t="s">
        <v>412</v>
      </c>
      <c r="B136" t="s">
        <v>413</v>
      </c>
      <c r="C136" s="3" t="s">
        <v>409</v>
      </c>
      <c r="D136" s="3" t="str">
        <f t="shared" si="8"/>
        <v>262061462964216396</v>
      </c>
      <c r="E136" s="3" t="s">
        <v>38</v>
      </c>
      <c r="F136" s="9">
        <v>38133</v>
      </c>
      <c r="G136" s="3" t="s">
        <v>410</v>
      </c>
      <c r="H136" s="3" t="s">
        <v>411</v>
      </c>
      <c r="I136" s="3" t="s">
        <v>40</v>
      </c>
      <c r="J136" t="str">
        <f t="shared" si="9"/>
        <v>11/05/2016 16:31</v>
      </c>
      <c r="K136" s="3" t="s">
        <v>39</v>
      </c>
      <c r="L136" s="3" t="s">
        <v>39</v>
      </c>
      <c r="M136" t="str">
        <f>""</f>
        <v/>
      </c>
      <c r="N136" t="s">
        <v>407</v>
      </c>
      <c r="O136" t="s">
        <v>408</v>
      </c>
      <c r="P136" s="9">
        <v>1</v>
      </c>
      <c r="Q136" s="7">
        <v>38133</v>
      </c>
      <c r="R136" s="54">
        <v>36798.339999999997</v>
      </c>
      <c r="S136" s="7">
        <v>1334.66</v>
      </c>
      <c r="T136" s="11">
        <v>3.5000000000000003E-2</v>
      </c>
      <c r="U136" s="11">
        <v>0</v>
      </c>
      <c r="V136" s="11">
        <v>0</v>
      </c>
      <c r="W136" s="11">
        <v>0</v>
      </c>
      <c r="X136" s="3" t="s">
        <v>39</v>
      </c>
      <c r="Y136" s="3" t="s">
        <v>390</v>
      </c>
      <c r="Z136" s="3" t="s">
        <v>39</v>
      </c>
    </row>
    <row r="137" spans="1:26" x14ac:dyDescent="0.25">
      <c r="A137" t="s">
        <v>414</v>
      </c>
      <c r="B137" t="s">
        <v>415</v>
      </c>
      <c r="C137" s="3" t="s">
        <v>409</v>
      </c>
      <c r="D137" s="3" t="str">
        <f t="shared" si="8"/>
        <v>262061462964216396</v>
      </c>
      <c r="E137" s="3" t="s">
        <v>38</v>
      </c>
      <c r="F137" s="9">
        <v>38133</v>
      </c>
      <c r="G137" s="3" t="s">
        <v>410</v>
      </c>
      <c r="H137" s="3" t="s">
        <v>411</v>
      </c>
      <c r="I137" s="3" t="s">
        <v>40</v>
      </c>
      <c r="J137" t="str">
        <f t="shared" si="9"/>
        <v>11/05/2016 16:31</v>
      </c>
      <c r="K137" s="3" t="s">
        <v>39</v>
      </c>
      <c r="L137" s="3" t="s">
        <v>39</v>
      </c>
      <c r="M137" t="str">
        <f>""</f>
        <v/>
      </c>
      <c r="N137" t="s">
        <v>407</v>
      </c>
      <c r="O137" t="s">
        <v>408</v>
      </c>
      <c r="P137" s="9">
        <v>1</v>
      </c>
      <c r="Q137" s="7">
        <v>38133</v>
      </c>
      <c r="R137" s="54">
        <v>36798.339999999997</v>
      </c>
      <c r="S137" s="7">
        <v>1334.66</v>
      </c>
      <c r="T137" s="11">
        <v>3.5000000000000003E-2</v>
      </c>
      <c r="U137" s="11">
        <v>0</v>
      </c>
      <c r="V137" s="11">
        <v>0</v>
      </c>
      <c r="W137" s="11">
        <v>0</v>
      </c>
      <c r="X137" s="3" t="s">
        <v>39</v>
      </c>
      <c r="Y137" s="3" t="s">
        <v>390</v>
      </c>
      <c r="Z137" s="3" t="s">
        <v>39</v>
      </c>
    </row>
    <row r="138" spans="1:26" x14ac:dyDescent="0.25">
      <c r="A138" t="s">
        <v>416</v>
      </c>
      <c r="B138" t="s">
        <v>417</v>
      </c>
      <c r="C138" s="3" t="s">
        <v>409</v>
      </c>
      <c r="D138" s="3" t="str">
        <f t="shared" si="8"/>
        <v>262061462964216396</v>
      </c>
      <c r="E138" s="3" t="s">
        <v>38</v>
      </c>
      <c r="F138" s="9">
        <v>38133</v>
      </c>
      <c r="G138" s="3" t="s">
        <v>410</v>
      </c>
      <c r="H138" s="3" t="s">
        <v>411</v>
      </c>
      <c r="I138" s="3" t="s">
        <v>40</v>
      </c>
      <c r="J138" t="str">
        <f t="shared" si="9"/>
        <v>11/05/2016 16:31</v>
      </c>
      <c r="K138" s="3" t="s">
        <v>39</v>
      </c>
      <c r="L138" s="3" t="s">
        <v>39</v>
      </c>
      <c r="M138" t="str">
        <f>""</f>
        <v/>
      </c>
      <c r="N138" t="s">
        <v>407</v>
      </c>
      <c r="O138" t="s">
        <v>408</v>
      </c>
      <c r="P138" s="9">
        <v>1</v>
      </c>
      <c r="Q138" s="7">
        <v>38133</v>
      </c>
      <c r="R138" s="54">
        <v>36798.339999999997</v>
      </c>
      <c r="S138" s="7">
        <v>1334.66</v>
      </c>
      <c r="T138" s="11">
        <v>3.5000000000000003E-2</v>
      </c>
      <c r="U138" s="11">
        <v>0</v>
      </c>
      <c r="V138" s="11">
        <v>0</v>
      </c>
      <c r="W138" s="11">
        <v>0</v>
      </c>
      <c r="X138" s="3" t="s">
        <v>39</v>
      </c>
      <c r="Y138" s="3" t="s">
        <v>390</v>
      </c>
      <c r="Z138" s="3" t="s">
        <v>39</v>
      </c>
    </row>
    <row r="139" spans="1:26" x14ac:dyDescent="0.25">
      <c r="A139" t="s">
        <v>418</v>
      </c>
      <c r="B139" t="s">
        <v>419</v>
      </c>
      <c r="C139" s="3" t="s">
        <v>409</v>
      </c>
      <c r="D139" s="3" t="str">
        <f t="shared" si="8"/>
        <v>262061462964216396</v>
      </c>
      <c r="E139" s="3" t="s">
        <v>38</v>
      </c>
      <c r="F139" s="9">
        <v>38133</v>
      </c>
      <c r="G139" s="3" t="s">
        <v>410</v>
      </c>
      <c r="H139" s="3" t="s">
        <v>411</v>
      </c>
      <c r="I139" s="3" t="s">
        <v>40</v>
      </c>
      <c r="J139" t="str">
        <f t="shared" si="9"/>
        <v>11/05/2016 16:31</v>
      </c>
      <c r="K139" s="3" t="s">
        <v>39</v>
      </c>
      <c r="L139" s="3" t="s">
        <v>39</v>
      </c>
      <c r="M139" t="str">
        <f>""</f>
        <v/>
      </c>
      <c r="N139" t="s">
        <v>407</v>
      </c>
      <c r="O139" t="s">
        <v>408</v>
      </c>
      <c r="P139" s="9">
        <v>1</v>
      </c>
      <c r="Q139" s="7">
        <v>38133</v>
      </c>
      <c r="R139" s="54">
        <v>36798.339999999997</v>
      </c>
      <c r="S139" s="7">
        <v>1334.66</v>
      </c>
      <c r="T139" s="11">
        <v>3.5000000000000003E-2</v>
      </c>
      <c r="U139" s="11">
        <v>0</v>
      </c>
      <c r="V139" s="11">
        <v>0</v>
      </c>
      <c r="W139" s="11">
        <v>0</v>
      </c>
      <c r="X139" s="3" t="s">
        <v>39</v>
      </c>
      <c r="Y139" s="3" t="s">
        <v>390</v>
      </c>
      <c r="Z139" s="3" t="s">
        <v>39</v>
      </c>
    </row>
    <row r="140" spans="1:26" x14ac:dyDescent="0.25">
      <c r="A140" t="s">
        <v>420</v>
      </c>
      <c r="B140" t="s">
        <v>421</v>
      </c>
      <c r="C140" s="3" t="s">
        <v>409</v>
      </c>
      <c r="D140" s="3" t="str">
        <f t="shared" si="8"/>
        <v>262061462964216396</v>
      </c>
      <c r="E140" s="3" t="s">
        <v>38</v>
      </c>
      <c r="F140" s="9">
        <v>38133</v>
      </c>
      <c r="G140" s="3" t="s">
        <v>410</v>
      </c>
      <c r="H140" s="3" t="s">
        <v>411</v>
      </c>
      <c r="I140" s="3" t="s">
        <v>40</v>
      </c>
      <c r="J140" t="str">
        <f t="shared" si="9"/>
        <v>11/05/2016 16:31</v>
      </c>
      <c r="K140" s="3" t="s">
        <v>39</v>
      </c>
      <c r="L140" s="3" t="s">
        <v>39</v>
      </c>
      <c r="M140" t="str">
        <f>""</f>
        <v/>
      </c>
      <c r="N140" t="s">
        <v>407</v>
      </c>
      <c r="O140" t="s">
        <v>408</v>
      </c>
      <c r="P140" s="9">
        <v>1</v>
      </c>
      <c r="Q140" s="7">
        <v>38133</v>
      </c>
      <c r="R140" s="54">
        <v>36798.339999999997</v>
      </c>
      <c r="S140" s="7">
        <v>1334.66</v>
      </c>
      <c r="T140" s="11">
        <v>3.5000000000000003E-2</v>
      </c>
      <c r="U140" s="11">
        <v>0</v>
      </c>
      <c r="V140" s="11">
        <v>0</v>
      </c>
      <c r="W140" s="11">
        <v>0</v>
      </c>
      <c r="X140" s="3" t="s">
        <v>39</v>
      </c>
      <c r="Y140" s="3" t="s">
        <v>390</v>
      </c>
      <c r="Z140" s="3" t="s">
        <v>39</v>
      </c>
    </row>
    <row r="141" spans="1:26" x14ac:dyDescent="0.25">
      <c r="A141" t="s">
        <v>386</v>
      </c>
      <c r="B141" t="s">
        <v>387</v>
      </c>
      <c r="C141" s="3" t="s">
        <v>359</v>
      </c>
      <c r="D141" s="3" t="str">
        <f>"142561464077861068"</f>
        <v>142561464077861068</v>
      </c>
      <c r="E141" s="3" t="s">
        <v>38</v>
      </c>
      <c r="F141" s="9">
        <v>6000</v>
      </c>
      <c r="G141" s="3" t="s">
        <v>39</v>
      </c>
      <c r="H141" s="3" t="s">
        <v>39</v>
      </c>
      <c r="I141" s="3" t="s">
        <v>40</v>
      </c>
      <c r="J141" t="str">
        <f>"24/05/2016 13:49"</f>
        <v>24/05/2016 13:49</v>
      </c>
      <c r="K141" s="3" t="s">
        <v>39</v>
      </c>
      <c r="L141" s="3" t="s">
        <v>39</v>
      </c>
      <c r="M141" t="str">
        <f>""</f>
        <v/>
      </c>
      <c r="N141" t="s">
        <v>388</v>
      </c>
      <c r="O141" t="s">
        <v>389</v>
      </c>
      <c r="P141" s="9">
        <v>1</v>
      </c>
      <c r="Q141" s="7">
        <v>6000</v>
      </c>
      <c r="R141" s="54">
        <v>5790</v>
      </c>
      <c r="S141" s="7">
        <v>210</v>
      </c>
      <c r="T141" s="11">
        <v>3.5000000000000003E-2</v>
      </c>
      <c r="U141" s="11">
        <v>0</v>
      </c>
      <c r="V141" s="11">
        <v>0</v>
      </c>
      <c r="W141" s="11">
        <v>0</v>
      </c>
      <c r="X141" s="3" t="s">
        <v>39</v>
      </c>
      <c r="Y141" s="3" t="s">
        <v>390</v>
      </c>
      <c r="Z141" s="3" t="s">
        <v>39</v>
      </c>
    </row>
    <row r="142" spans="1:26" x14ac:dyDescent="0.25">
      <c r="A142" t="s">
        <v>388</v>
      </c>
      <c r="B142" t="s">
        <v>389</v>
      </c>
      <c r="C142" s="3" t="s">
        <v>359</v>
      </c>
      <c r="D142" s="3" t="str">
        <f>"142561464077861068"</f>
        <v>142561464077861068</v>
      </c>
      <c r="E142" s="3" t="s">
        <v>38</v>
      </c>
      <c r="F142" s="9">
        <v>6000</v>
      </c>
      <c r="G142" s="3" t="s">
        <v>39</v>
      </c>
      <c r="H142" s="3" t="s">
        <v>39</v>
      </c>
      <c r="I142" s="3" t="s">
        <v>40</v>
      </c>
      <c r="J142" t="str">
        <f>"24/05/2016 13:49"</f>
        <v>24/05/2016 13:49</v>
      </c>
      <c r="K142" s="3" t="s">
        <v>39</v>
      </c>
      <c r="L142" s="3" t="s">
        <v>39</v>
      </c>
      <c r="M142" t="str">
        <f>""</f>
        <v/>
      </c>
      <c r="N142" t="s">
        <v>388</v>
      </c>
      <c r="O142" t="s">
        <v>389</v>
      </c>
      <c r="P142" s="9">
        <v>1</v>
      </c>
      <c r="Q142" s="7">
        <v>6000</v>
      </c>
      <c r="R142" s="54">
        <v>5790</v>
      </c>
      <c r="S142" s="7">
        <v>210</v>
      </c>
      <c r="T142" s="11">
        <v>3.5000000000000003E-2</v>
      </c>
      <c r="U142" s="11">
        <v>0</v>
      </c>
      <c r="V142" s="11">
        <v>0</v>
      </c>
      <c r="W142" s="11">
        <v>0</v>
      </c>
      <c r="X142" s="3" t="s">
        <v>39</v>
      </c>
      <c r="Y142" s="3" t="s">
        <v>390</v>
      </c>
      <c r="Z142" s="3" t="s">
        <v>39</v>
      </c>
    </row>
    <row r="143" spans="1:26" x14ac:dyDescent="0.25">
      <c r="A143" t="s">
        <v>391</v>
      </c>
      <c r="B143" t="s">
        <v>392</v>
      </c>
      <c r="C143" s="3" t="s">
        <v>359</v>
      </c>
      <c r="D143" s="3" t="str">
        <f>"142561464077861068"</f>
        <v>142561464077861068</v>
      </c>
      <c r="E143" s="3" t="s">
        <v>38</v>
      </c>
      <c r="F143" s="9">
        <v>6000</v>
      </c>
      <c r="G143" s="3" t="s">
        <v>39</v>
      </c>
      <c r="H143" s="3" t="s">
        <v>39</v>
      </c>
      <c r="I143" s="3" t="s">
        <v>40</v>
      </c>
      <c r="J143" t="str">
        <f>"24/05/2016 13:49"</f>
        <v>24/05/2016 13:49</v>
      </c>
      <c r="K143" s="3" t="s">
        <v>39</v>
      </c>
      <c r="L143" s="3" t="s">
        <v>39</v>
      </c>
      <c r="M143" t="str">
        <f>""</f>
        <v/>
      </c>
      <c r="N143" t="s">
        <v>388</v>
      </c>
      <c r="O143" t="s">
        <v>389</v>
      </c>
      <c r="P143" s="9">
        <v>1</v>
      </c>
      <c r="Q143" s="7">
        <v>6000</v>
      </c>
      <c r="R143" s="54">
        <v>5790</v>
      </c>
      <c r="S143" s="7">
        <v>210</v>
      </c>
      <c r="T143" s="11">
        <v>3.5000000000000003E-2</v>
      </c>
      <c r="U143" s="11">
        <v>0</v>
      </c>
      <c r="V143" s="11">
        <v>0</v>
      </c>
      <c r="W143" s="11">
        <v>0</v>
      </c>
      <c r="X143" s="3" t="s">
        <v>39</v>
      </c>
      <c r="Y143" s="3" t="s">
        <v>390</v>
      </c>
      <c r="Z143" s="3" t="s">
        <v>39</v>
      </c>
    </row>
    <row r="144" spans="1:26" x14ac:dyDescent="0.25">
      <c r="A144" t="s">
        <v>427</v>
      </c>
      <c r="B144" t="s">
        <v>428</v>
      </c>
      <c r="C144" s="3" t="s">
        <v>359</v>
      </c>
      <c r="D144" s="3" t="str">
        <f>"301771467015807969"</f>
        <v>301771467015807969</v>
      </c>
      <c r="E144" s="3" t="s">
        <v>38</v>
      </c>
      <c r="F144" s="9">
        <v>6000</v>
      </c>
      <c r="G144" s="3" t="s">
        <v>39</v>
      </c>
      <c r="H144" s="3" t="s">
        <v>39</v>
      </c>
      <c r="I144" s="3" t="s">
        <v>40</v>
      </c>
      <c r="J144" t="str">
        <f>"27/06/2016 13:55"</f>
        <v>27/06/2016 13:55</v>
      </c>
      <c r="K144" s="3" t="s">
        <v>39</v>
      </c>
      <c r="L144" s="3" t="s">
        <v>39</v>
      </c>
      <c r="M144" t="str">
        <f>""</f>
        <v/>
      </c>
      <c r="N144" t="s">
        <v>427</v>
      </c>
      <c r="O144" t="s">
        <v>428</v>
      </c>
      <c r="P144" s="9">
        <v>1</v>
      </c>
      <c r="Q144" s="7">
        <v>6000</v>
      </c>
      <c r="R144" s="7">
        <v>5790</v>
      </c>
      <c r="S144" s="7">
        <v>210</v>
      </c>
      <c r="T144" s="11">
        <v>3.5000000000000003E-2</v>
      </c>
      <c r="U144" s="11">
        <v>0</v>
      </c>
      <c r="V144" s="11">
        <v>0</v>
      </c>
      <c r="W144" s="11">
        <v>0</v>
      </c>
      <c r="X144" s="3" t="s">
        <v>39</v>
      </c>
      <c r="Y144" t="s">
        <v>429</v>
      </c>
      <c r="Z144" s="3" t="s">
        <v>39</v>
      </c>
    </row>
    <row r="145" spans="1:26" x14ac:dyDescent="0.25">
      <c r="A145" t="s">
        <v>430</v>
      </c>
      <c r="B145" t="s">
        <v>431</v>
      </c>
      <c r="C145" s="3" t="s">
        <v>359</v>
      </c>
      <c r="D145" s="3" t="str">
        <f>"211501467009056595"</f>
        <v>211501467009056595</v>
      </c>
      <c r="E145" s="3" t="s">
        <v>38</v>
      </c>
      <c r="F145" s="9">
        <v>6000</v>
      </c>
      <c r="G145" s="3" t="s">
        <v>39</v>
      </c>
      <c r="H145" s="3" t="s">
        <v>39</v>
      </c>
      <c r="I145" s="3" t="s">
        <v>40</v>
      </c>
      <c r="J145" t="str">
        <f>"27/06/2016 12:02"</f>
        <v>27/06/2016 12:02</v>
      </c>
      <c r="K145" s="3" t="s">
        <v>39</v>
      </c>
      <c r="L145" s="3" t="s">
        <v>39</v>
      </c>
      <c r="M145" t="str">
        <f>""</f>
        <v/>
      </c>
      <c r="N145" t="s">
        <v>430</v>
      </c>
      <c r="O145" t="s">
        <v>431</v>
      </c>
      <c r="P145" s="9">
        <v>1</v>
      </c>
      <c r="Q145" s="7">
        <v>6000</v>
      </c>
      <c r="R145" s="7">
        <v>5790</v>
      </c>
      <c r="S145" s="7">
        <v>210</v>
      </c>
      <c r="T145" s="11">
        <v>3.5000000000000003E-2</v>
      </c>
      <c r="U145" s="11">
        <v>0</v>
      </c>
      <c r="V145" s="11">
        <v>0</v>
      </c>
      <c r="W145" s="11">
        <v>0</v>
      </c>
      <c r="X145" s="3" t="s">
        <v>39</v>
      </c>
      <c r="Y145" t="s">
        <v>429</v>
      </c>
      <c r="Z145" s="3" t="s">
        <v>39</v>
      </c>
    </row>
    <row r="146" spans="1:26" x14ac:dyDescent="0.25">
      <c r="A146" t="s">
        <v>432</v>
      </c>
      <c r="B146" t="s">
        <v>433</v>
      </c>
      <c r="C146" s="3" t="s">
        <v>359</v>
      </c>
      <c r="D146" s="3" t="str">
        <f>"322221467008898541"</f>
        <v>322221467008898541</v>
      </c>
      <c r="E146" s="3" t="s">
        <v>38</v>
      </c>
      <c r="F146" s="9">
        <v>6000</v>
      </c>
      <c r="G146" s="3" t="s">
        <v>39</v>
      </c>
      <c r="H146" s="3" t="s">
        <v>39</v>
      </c>
      <c r="I146" s="3" t="s">
        <v>40</v>
      </c>
      <c r="J146" t="str">
        <f>"27/06/2016 11:59"</f>
        <v>27/06/2016 11:59</v>
      </c>
      <c r="K146" s="3" t="s">
        <v>39</v>
      </c>
      <c r="L146" s="3" t="s">
        <v>39</v>
      </c>
      <c r="M146" t="str">
        <f>""</f>
        <v/>
      </c>
      <c r="N146" t="s">
        <v>432</v>
      </c>
      <c r="O146" t="s">
        <v>433</v>
      </c>
      <c r="P146" s="9">
        <v>1</v>
      </c>
      <c r="Q146" s="7">
        <v>6000</v>
      </c>
      <c r="R146" s="7">
        <v>5790</v>
      </c>
      <c r="S146" s="7">
        <v>210</v>
      </c>
      <c r="T146" s="11">
        <v>3.5000000000000003E-2</v>
      </c>
      <c r="U146" s="11">
        <v>0</v>
      </c>
      <c r="V146" s="11">
        <v>0</v>
      </c>
      <c r="W146" s="11">
        <v>0</v>
      </c>
      <c r="X146" s="3" t="s">
        <v>39</v>
      </c>
      <c r="Y146" t="s">
        <v>429</v>
      </c>
      <c r="Z146" s="3" t="s">
        <v>39</v>
      </c>
    </row>
    <row r="147" spans="1:26" x14ac:dyDescent="0.25">
      <c r="A147" t="s">
        <v>434</v>
      </c>
      <c r="B147" t="s">
        <v>435</v>
      </c>
      <c r="C147" s="3" t="s">
        <v>359</v>
      </c>
      <c r="D147" s="3" t="str">
        <f>"331011467008840774"</f>
        <v>331011467008840774</v>
      </c>
      <c r="E147" s="3" t="s">
        <v>38</v>
      </c>
      <c r="F147" s="9">
        <v>6000</v>
      </c>
      <c r="G147" s="3" t="s">
        <v>39</v>
      </c>
      <c r="H147" s="3" t="s">
        <v>39</v>
      </c>
      <c r="I147" s="3" t="s">
        <v>40</v>
      </c>
      <c r="J147" t="str">
        <f>"27/06/2016 11:59"</f>
        <v>27/06/2016 11:59</v>
      </c>
      <c r="K147" s="3" t="s">
        <v>39</v>
      </c>
      <c r="L147" s="3" t="s">
        <v>39</v>
      </c>
      <c r="M147" t="str">
        <f>""</f>
        <v/>
      </c>
      <c r="N147" t="s">
        <v>434</v>
      </c>
      <c r="O147" t="s">
        <v>435</v>
      </c>
      <c r="P147" s="9">
        <v>1</v>
      </c>
      <c r="Q147" s="7">
        <v>6000</v>
      </c>
      <c r="R147" s="7">
        <v>5790</v>
      </c>
      <c r="S147" s="7">
        <v>210</v>
      </c>
      <c r="T147" s="11">
        <v>3.5000000000000003E-2</v>
      </c>
      <c r="U147" s="11">
        <v>0</v>
      </c>
      <c r="V147" s="11">
        <v>0</v>
      </c>
      <c r="W147" s="11">
        <v>0</v>
      </c>
      <c r="X147" s="3" t="s">
        <v>39</v>
      </c>
      <c r="Y147" t="s">
        <v>429</v>
      </c>
      <c r="Z147" s="3" t="s">
        <v>39</v>
      </c>
    </row>
    <row r="148" spans="1:26" x14ac:dyDescent="0.25">
      <c r="A148" t="s">
        <v>436</v>
      </c>
      <c r="B148" t="s">
        <v>437</v>
      </c>
      <c r="C148" s="3" t="s">
        <v>359</v>
      </c>
      <c r="D148" s="3" t="str">
        <f>"260721467008840545"</f>
        <v>260721467008840545</v>
      </c>
      <c r="E148" s="3" t="s">
        <v>38</v>
      </c>
      <c r="F148" s="9">
        <v>6000</v>
      </c>
      <c r="G148" s="3" t="s">
        <v>39</v>
      </c>
      <c r="H148" s="3" t="s">
        <v>39</v>
      </c>
      <c r="I148" s="3" t="s">
        <v>40</v>
      </c>
      <c r="J148" t="str">
        <f>"27/06/2016 11:59"</f>
        <v>27/06/2016 11:59</v>
      </c>
      <c r="K148" s="3" t="s">
        <v>39</v>
      </c>
      <c r="L148" s="3" t="s">
        <v>39</v>
      </c>
      <c r="M148" t="str">
        <f>""</f>
        <v/>
      </c>
      <c r="N148" t="s">
        <v>436</v>
      </c>
      <c r="O148" t="s">
        <v>437</v>
      </c>
      <c r="P148" s="9">
        <v>1</v>
      </c>
      <c r="Q148" s="7">
        <v>6000</v>
      </c>
      <c r="R148" s="7">
        <v>5790</v>
      </c>
      <c r="S148" s="7">
        <v>210</v>
      </c>
      <c r="T148" s="11">
        <v>3.5000000000000003E-2</v>
      </c>
      <c r="U148" s="11">
        <v>0</v>
      </c>
      <c r="V148" s="11">
        <v>0</v>
      </c>
      <c r="W148" s="11">
        <v>0</v>
      </c>
      <c r="X148" s="3" t="s">
        <v>39</v>
      </c>
      <c r="Y148" t="s">
        <v>429</v>
      </c>
      <c r="Z148" s="3" t="s">
        <v>39</v>
      </c>
    </row>
    <row r="149" spans="1:26" x14ac:dyDescent="0.25">
      <c r="A149" t="s">
        <v>438</v>
      </c>
      <c r="B149" t="s">
        <v>439</v>
      </c>
      <c r="C149" s="3" t="s">
        <v>359</v>
      </c>
      <c r="D149" s="3" t="str">
        <f>"514351467008829270"</f>
        <v>514351467008829270</v>
      </c>
      <c r="E149" s="3" t="s">
        <v>38</v>
      </c>
      <c r="F149" s="9">
        <v>6000</v>
      </c>
      <c r="G149" s="3" t="s">
        <v>39</v>
      </c>
      <c r="H149" s="3" t="s">
        <v>39</v>
      </c>
      <c r="I149" s="3" t="s">
        <v>40</v>
      </c>
      <c r="J149" t="str">
        <f>"27/06/2016 11:58"</f>
        <v>27/06/2016 11:58</v>
      </c>
      <c r="K149" s="3" t="s">
        <v>39</v>
      </c>
      <c r="L149" s="3" t="s">
        <v>39</v>
      </c>
      <c r="M149" t="str">
        <f>""</f>
        <v/>
      </c>
      <c r="N149" t="s">
        <v>438</v>
      </c>
      <c r="O149" t="s">
        <v>439</v>
      </c>
      <c r="P149" s="9">
        <v>1</v>
      </c>
      <c r="Q149" s="7">
        <v>6000</v>
      </c>
      <c r="R149" s="7">
        <v>5790</v>
      </c>
      <c r="S149" s="7">
        <v>210</v>
      </c>
      <c r="T149" s="11">
        <v>3.5000000000000003E-2</v>
      </c>
      <c r="U149" s="11">
        <v>0</v>
      </c>
      <c r="V149" s="11">
        <v>0</v>
      </c>
      <c r="W149" s="11">
        <v>0</v>
      </c>
      <c r="X149" s="3" t="s">
        <v>39</v>
      </c>
      <c r="Y149" t="s">
        <v>429</v>
      </c>
      <c r="Z149" s="3" t="s">
        <v>39</v>
      </c>
    </row>
    <row r="150" spans="1:26" x14ac:dyDescent="0.25">
      <c r="A150" t="s">
        <v>440</v>
      </c>
      <c r="B150" t="s">
        <v>441</v>
      </c>
      <c r="C150" s="3" t="s">
        <v>359</v>
      </c>
      <c r="D150" s="3" t="str">
        <f>"556321467000042041"</f>
        <v>556321467000042041</v>
      </c>
      <c r="E150" s="3" t="s">
        <v>38</v>
      </c>
      <c r="F150" s="9">
        <v>6000</v>
      </c>
      <c r="G150" s="3" t="s">
        <v>39</v>
      </c>
      <c r="H150" s="3" t="s">
        <v>39</v>
      </c>
      <c r="I150" s="3" t="s">
        <v>40</v>
      </c>
      <c r="J150" t="str">
        <f>"27/06/2016 09:35"</f>
        <v>27/06/2016 09:35</v>
      </c>
      <c r="K150" s="3" t="s">
        <v>39</v>
      </c>
      <c r="L150" s="3" t="s">
        <v>39</v>
      </c>
      <c r="M150" t="str">
        <f>""</f>
        <v/>
      </c>
      <c r="N150" t="s">
        <v>440</v>
      </c>
      <c r="O150" t="s">
        <v>441</v>
      </c>
      <c r="P150" s="9">
        <v>1</v>
      </c>
      <c r="Q150" s="7">
        <v>6000</v>
      </c>
      <c r="R150" s="7">
        <v>5790</v>
      </c>
      <c r="S150" s="7">
        <v>210</v>
      </c>
      <c r="T150" s="11">
        <v>3.5000000000000003E-2</v>
      </c>
      <c r="U150" s="11">
        <v>0</v>
      </c>
      <c r="V150" s="11">
        <v>0</v>
      </c>
      <c r="W150" s="11">
        <v>0</v>
      </c>
      <c r="X150" s="3" t="s">
        <v>39</v>
      </c>
      <c r="Y150" t="s">
        <v>429</v>
      </c>
      <c r="Z150" s="3" t="s">
        <v>39</v>
      </c>
    </row>
    <row r="151" spans="1:26" x14ac:dyDescent="0.25">
      <c r="A151" t="s">
        <v>442</v>
      </c>
      <c r="B151" t="s">
        <v>443</v>
      </c>
      <c r="C151" s="3" t="s">
        <v>359</v>
      </c>
      <c r="D151" s="3" t="str">
        <f>"706721466743462851"</f>
        <v>706721466743462851</v>
      </c>
      <c r="E151" s="3" t="s">
        <v>38</v>
      </c>
      <c r="F151" s="9">
        <v>4500</v>
      </c>
      <c r="G151" s="3" t="s">
        <v>260</v>
      </c>
      <c r="H151" s="3" t="s">
        <v>444</v>
      </c>
      <c r="I151" s="3" t="s">
        <v>40</v>
      </c>
      <c r="J151" t="str">
        <f>"24/06/2016 10:16"</f>
        <v>24/06/2016 10:16</v>
      </c>
      <c r="K151" s="3" t="s">
        <v>39</v>
      </c>
      <c r="L151" s="3" t="s">
        <v>39</v>
      </c>
      <c r="M151" t="str">
        <f>""</f>
        <v/>
      </c>
      <c r="N151" t="s">
        <v>442</v>
      </c>
      <c r="O151" t="s">
        <v>443</v>
      </c>
      <c r="P151" s="9">
        <v>1</v>
      </c>
      <c r="Q151" s="7">
        <v>4500</v>
      </c>
      <c r="R151" s="7">
        <v>4342.5</v>
      </c>
      <c r="S151" s="7">
        <v>157.5</v>
      </c>
      <c r="T151" s="11">
        <v>3.5000000000000003E-2</v>
      </c>
      <c r="U151" s="11">
        <v>0</v>
      </c>
      <c r="V151" s="11">
        <v>0</v>
      </c>
      <c r="W151" s="11">
        <v>0</v>
      </c>
      <c r="X151" s="3" t="s">
        <v>39</v>
      </c>
      <c r="Y151" t="s">
        <v>429</v>
      </c>
      <c r="Z151" s="3" t="s">
        <v>39</v>
      </c>
    </row>
    <row r="152" spans="1:26" x14ac:dyDescent="0.25">
      <c r="A152" t="s">
        <v>445</v>
      </c>
      <c r="B152" t="s">
        <v>446</v>
      </c>
      <c r="C152" s="3" t="s">
        <v>359</v>
      </c>
      <c r="D152" s="3" t="str">
        <f>"273171466675580281"</f>
        <v>273171466675580281</v>
      </c>
      <c r="E152" s="3" t="s">
        <v>38</v>
      </c>
      <c r="F152" s="9">
        <v>4500</v>
      </c>
      <c r="G152" s="3" t="s">
        <v>260</v>
      </c>
      <c r="H152" s="3" t="s">
        <v>444</v>
      </c>
      <c r="I152" s="3" t="s">
        <v>40</v>
      </c>
      <c r="J152" t="str">
        <f>"23/06/2016 15:24"</f>
        <v>23/06/2016 15:24</v>
      </c>
      <c r="K152" s="3" t="s">
        <v>39</v>
      </c>
      <c r="L152" s="3" t="s">
        <v>39</v>
      </c>
      <c r="M152" t="str">
        <f>""</f>
        <v/>
      </c>
      <c r="N152" t="s">
        <v>445</v>
      </c>
      <c r="O152" t="s">
        <v>446</v>
      </c>
      <c r="P152" s="9">
        <v>1</v>
      </c>
      <c r="Q152" s="7">
        <v>4500</v>
      </c>
      <c r="R152" s="7">
        <v>4342.5</v>
      </c>
      <c r="S152" s="7">
        <v>157.5</v>
      </c>
      <c r="T152" s="11">
        <v>3.5000000000000003E-2</v>
      </c>
      <c r="U152" s="11">
        <v>0</v>
      </c>
      <c r="V152" s="11">
        <v>0</v>
      </c>
      <c r="W152" s="11">
        <v>0</v>
      </c>
      <c r="X152" s="3" t="s">
        <v>39</v>
      </c>
      <c r="Y152" t="s">
        <v>429</v>
      </c>
      <c r="Z152" s="3" t="s">
        <v>39</v>
      </c>
    </row>
    <row r="153" spans="1:26" x14ac:dyDescent="0.25">
      <c r="A153" t="s">
        <v>447</v>
      </c>
      <c r="B153" t="s">
        <v>448</v>
      </c>
      <c r="C153" s="3" t="s">
        <v>359</v>
      </c>
      <c r="D153" s="3" t="str">
        <f>"135021466576567722"</f>
        <v>135021466576567722</v>
      </c>
      <c r="E153" s="3" t="s">
        <v>38</v>
      </c>
      <c r="F153" s="9">
        <v>4800</v>
      </c>
      <c r="G153" s="3" t="s">
        <v>449</v>
      </c>
      <c r="H153" s="3" t="s">
        <v>450</v>
      </c>
      <c r="I153" s="3" t="s">
        <v>40</v>
      </c>
      <c r="J153" t="str">
        <f>"22/06/2016 11:54"</f>
        <v>22/06/2016 11:54</v>
      </c>
      <c r="K153" s="3" t="s">
        <v>39</v>
      </c>
      <c r="L153" s="3" t="s">
        <v>39</v>
      </c>
      <c r="M153" t="str">
        <f>""</f>
        <v/>
      </c>
      <c r="N153" t="s">
        <v>447</v>
      </c>
      <c r="O153" t="s">
        <v>448</v>
      </c>
      <c r="P153" s="9">
        <v>1</v>
      </c>
      <c r="Q153" s="7">
        <v>4800</v>
      </c>
      <c r="R153" s="7">
        <v>4632</v>
      </c>
      <c r="S153" s="7">
        <v>168</v>
      </c>
      <c r="T153" s="11">
        <v>3.5000000000000003E-2</v>
      </c>
      <c r="U153" s="11">
        <v>0</v>
      </c>
      <c r="V153" s="11">
        <v>0</v>
      </c>
      <c r="W153" s="11">
        <v>0</v>
      </c>
      <c r="X153" s="3" t="s">
        <v>39</v>
      </c>
      <c r="Y153" t="s">
        <v>451</v>
      </c>
      <c r="Z153" s="3" t="s">
        <v>39</v>
      </c>
    </row>
    <row r="154" spans="1:26" x14ac:dyDescent="0.25">
      <c r="A154" t="s">
        <v>452</v>
      </c>
      <c r="B154" t="s">
        <v>453</v>
      </c>
      <c r="C154" s="3" t="s">
        <v>359</v>
      </c>
      <c r="D154" s="3" t="str">
        <f>"316131466465969586"</f>
        <v>316131466465969586</v>
      </c>
      <c r="E154" s="3" t="s">
        <v>38</v>
      </c>
      <c r="F154" s="9">
        <v>3000</v>
      </c>
      <c r="G154" s="3" t="s">
        <v>260</v>
      </c>
      <c r="H154" s="3" t="s">
        <v>454</v>
      </c>
      <c r="I154" s="3" t="s">
        <v>40</v>
      </c>
      <c r="J154" t="str">
        <f>"21/06/2016 04:58"</f>
        <v>21/06/2016 04:58</v>
      </c>
      <c r="K154" s="3" t="s">
        <v>39</v>
      </c>
      <c r="L154" s="3" t="s">
        <v>39</v>
      </c>
      <c r="M154" t="str">
        <f>""</f>
        <v/>
      </c>
      <c r="N154" t="s">
        <v>452</v>
      </c>
      <c r="O154" t="s">
        <v>453</v>
      </c>
      <c r="P154" s="9">
        <v>1</v>
      </c>
      <c r="Q154" s="7">
        <v>3000</v>
      </c>
      <c r="R154" s="7">
        <v>2895</v>
      </c>
      <c r="S154" s="7">
        <v>105</v>
      </c>
      <c r="T154" s="11">
        <v>3.5000000000000003E-2</v>
      </c>
      <c r="U154" s="11">
        <v>0</v>
      </c>
      <c r="V154" s="11">
        <v>0</v>
      </c>
      <c r="W154" s="11">
        <v>0</v>
      </c>
      <c r="X154" s="3" t="s">
        <v>39</v>
      </c>
      <c r="Y154" t="s">
        <v>451</v>
      </c>
      <c r="Z154" s="3" t="s">
        <v>39</v>
      </c>
    </row>
    <row r="155" spans="1:26" x14ac:dyDescent="0.25">
      <c r="A155" t="s">
        <v>455</v>
      </c>
      <c r="B155" t="s">
        <v>456</v>
      </c>
      <c r="C155" s="3" t="s">
        <v>359</v>
      </c>
      <c r="D155" s="3" t="str">
        <f>"557541466169517906"</f>
        <v>557541466169517906</v>
      </c>
      <c r="E155" s="3" t="s">
        <v>38</v>
      </c>
      <c r="F155" s="9">
        <v>4800</v>
      </c>
      <c r="G155" s="3" t="s">
        <v>449</v>
      </c>
      <c r="H155" s="3" t="s">
        <v>450</v>
      </c>
      <c r="I155" s="3" t="s">
        <v>40</v>
      </c>
      <c r="J155" t="str">
        <f>"17/06/2016 18:52"</f>
        <v>17/06/2016 18:52</v>
      </c>
      <c r="K155" s="3" t="s">
        <v>39</v>
      </c>
      <c r="L155" s="3" t="s">
        <v>39</v>
      </c>
      <c r="M155" t="str">
        <f>""</f>
        <v/>
      </c>
      <c r="N155" t="s">
        <v>455</v>
      </c>
      <c r="O155" t="s">
        <v>456</v>
      </c>
      <c r="P155" s="9">
        <v>1</v>
      </c>
      <c r="Q155" s="7">
        <v>4800</v>
      </c>
      <c r="R155" s="7">
        <v>4632</v>
      </c>
      <c r="S155" s="7">
        <v>168</v>
      </c>
      <c r="T155" s="11">
        <v>3.5000000000000003E-2</v>
      </c>
      <c r="U155" s="11">
        <v>0</v>
      </c>
      <c r="V155" s="11">
        <v>0</v>
      </c>
      <c r="W155" s="11">
        <v>0</v>
      </c>
      <c r="X155" s="3" t="s">
        <v>39</v>
      </c>
      <c r="Y155" t="s">
        <v>457</v>
      </c>
      <c r="Z155" s="3" t="s">
        <v>39</v>
      </c>
    </row>
    <row r="156" spans="1:26" x14ac:dyDescent="0.25">
      <c r="A156" t="s">
        <v>458</v>
      </c>
      <c r="B156" t="s">
        <v>459</v>
      </c>
      <c r="C156" s="3" t="s">
        <v>359</v>
      </c>
      <c r="D156" s="3" t="str">
        <f>"737361466163083283"</f>
        <v>737361466163083283</v>
      </c>
      <c r="E156" s="3" t="s">
        <v>38</v>
      </c>
      <c r="F156" s="9">
        <v>3000</v>
      </c>
      <c r="G156" s="3" t="s">
        <v>260</v>
      </c>
      <c r="H156" s="3" t="s">
        <v>454</v>
      </c>
      <c r="I156" s="3" t="s">
        <v>40</v>
      </c>
      <c r="J156" t="str">
        <f>"17/06/2016 17:04"</f>
        <v>17/06/2016 17:04</v>
      </c>
      <c r="K156" s="3" t="s">
        <v>39</v>
      </c>
      <c r="L156" s="3" t="s">
        <v>39</v>
      </c>
      <c r="M156" t="str">
        <f>""</f>
        <v/>
      </c>
      <c r="N156" t="s">
        <v>327</v>
      </c>
      <c r="O156" t="s">
        <v>326</v>
      </c>
      <c r="P156" s="9">
        <v>1</v>
      </c>
      <c r="Q156" s="7">
        <v>3000</v>
      </c>
      <c r="R156" s="7">
        <v>2895</v>
      </c>
      <c r="S156" s="7">
        <v>105</v>
      </c>
      <c r="T156" s="11">
        <v>3.5000000000000003E-2</v>
      </c>
      <c r="U156" s="11">
        <v>0</v>
      </c>
      <c r="V156" s="11">
        <v>0</v>
      </c>
      <c r="W156" s="11">
        <v>0</v>
      </c>
      <c r="X156" s="3" t="s">
        <v>39</v>
      </c>
      <c r="Y156" t="s">
        <v>457</v>
      </c>
      <c r="Z156" s="3" t="s">
        <v>39</v>
      </c>
    </row>
    <row r="157" spans="1:26" x14ac:dyDescent="0.25">
      <c r="A157" t="s">
        <v>460</v>
      </c>
      <c r="B157" t="s">
        <v>461</v>
      </c>
      <c r="C157" s="3" t="s">
        <v>359</v>
      </c>
      <c r="D157" s="3" t="str">
        <f>"103421465987546867"</f>
        <v>103421465987546867</v>
      </c>
      <c r="E157" s="3" t="s">
        <v>38</v>
      </c>
      <c r="F157" s="9">
        <v>3600</v>
      </c>
      <c r="G157" s="3" t="s">
        <v>260</v>
      </c>
      <c r="H157" s="3" t="s">
        <v>462</v>
      </c>
      <c r="I157" s="3" t="s">
        <v>40</v>
      </c>
      <c r="J157" t="str">
        <f>"15/06/2016 16:19"</f>
        <v>15/06/2016 16:19</v>
      </c>
      <c r="K157" s="3" t="s">
        <v>39</v>
      </c>
      <c r="L157" s="3" t="s">
        <v>39</v>
      </c>
      <c r="M157" t="str">
        <f>""</f>
        <v/>
      </c>
      <c r="N157" t="s">
        <v>460</v>
      </c>
      <c r="O157" t="s">
        <v>461</v>
      </c>
      <c r="P157" s="9">
        <v>1</v>
      </c>
      <c r="Q157" s="7">
        <v>3600</v>
      </c>
      <c r="R157" s="7">
        <v>3474</v>
      </c>
      <c r="S157" s="7">
        <v>126</v>
      </c>
      <c r="T157" s="11">
        <v>3.5000000000000003E-2</v>
      </c>
      <c r="U157" s="11">
        <v>0</v>
      </c>
      <c r="V157" s="11">
        <v>0</v>
      </c>
      <c r="W157" s="11">
        <v>0</v>
      </c>
      <c r="X157" s="3" t="s">
        <v>39</v>
      </c>
      <c r="Y157" t="s">
        <v>457</v>
      </c>
      <c r="Z157" s="3" t="s">
        <v>39</v>
      </c>
    </row>
    <row r="158" spans="1:26" x14ac:dyDescent="0.25">
      <c r="A158" t="s">
        <v>463</v>
      </c>
      <c r="B158" t="s">
        <v>464</v>
      </c>
      <c r="C158" s="3" t="s">
        <v>359</v>
      </c>
      <c r="D158" s="3" t="str">
        <f>"103421465987546867"</f>
        <v>103421465987546867</v>
      </c>
      <c r="E158" s="3" t="s">
        <v>38</v>
      </c>
      <c r="F158" s="9">
        <v>3600</v>
      </c>
      <c r="G158" s="3" t="s">
        <v>260</v>
      </c>
      <c r="H158" s="3" t="s">
        <v>462</v>
      </c>
      <c r="I158" s="3" t="s">
        <v>40</v>
      </c>
      <c r="J158" t="str">
        <f>"15/06/2016 16:19"</f>
        <v>15/06/2016 16:19</v>
      </c>
      <c r="K158" s="3" t="s">
        <v>39</v>
      </c>
      <c r="L158" s="3" t="s">
        <v>39</v>
      </c>
      <c r="M158" t="str">
        <f>""</f>
        <v/>
      </c>
      <c r="N158" t="s">
        <v>460</v>
      </c>
      <c r="O158" t="s">
        <v>461</v>
      </c>
      <c r="P158" s="9">
        <v>1</v>
      </c>
      <c r="Q158" s="7">
        <v>3600</v>
      </c>
      <c r="R158" s="7">
        <v>3474</v>
      </c>
      <c r="S158" s="7">
        <v>126</v>
      </c>
      <c r="T158" s="11">
        <v>3.5000000000000003E-2</v>
      </c>
      <c r="U158" s="11">
        <v>0</v>
      </c>
      <c r="V158" s="11">
        <v>0</v>
      </c>
      <c r="W158" s="11">
        <v>0</v>
      </c>
      <c r="X158" s="3" t="s">
        <v>39</v>
      </c>
      <c r="Y158" t="s">
        <v>457</v>
      </c>
      <c r="Z158" s="3" t="s">
        <v>39</v>
      </c>
    </row>
    <row r="159" spans="1:26" x14ac:dyDescent="0.25">
      <c r="A159" t="s">
        <v>465</v>
      </c>
      <c r="B159" t="s">
        <v>466</v>
      </c>
      <c r="C159" s="3" t="s">
        <v>359</v>
      </c>
      <c r="D159" s="3" t="str">
        <f>"103421465987546867"</f>
        <v>103421465987546867</v>
      </c>
      <c r="E159" s="3" t="s">
        <v>38</v>
      </c>
      <c r="F159" s="9">
        <v>3600</v>
      </c>
      <c r="G159" s="3" t="s">
        <v>260</v>
      </c>
      <c r="H159" s="3" t="s">
        <v>462</v>
      </c>
      <c r="I159" s="3" t="s">
        <v>40</v>
      </c>
      <c r="J159" t="str">
        <f>"15/06/2016 16:19"</f>
        <v>15/06/2016 16:19</v>
      </c>
      <c r="K159" s="3" t="s">
        <v>39</v>
      </c>
      <c r="L159" s="3" t="s">
        <v>39</v>
      </c>
      <c r="M159" t="str">
        <f>""</f>
        <v/>
      </c>
      <c r="N159" t="s">
        <v>460</v>
      </c>
      <c r="O159" t="s">
        <v>461</v>
      </c>
      <c r="P159" s="9">
        <v>1</v>
      </c>
      <c r="Q159" s="7">
        <v>3600</v>
      </c>
      <c r="R159" s="7">
        <v>3474</v>
      </c>
      <c r="S159" s="7">
        <v>126</v>
      </c>
      <c r="T159" s="11">
        <v>3.5000000000000003E-2</v>
      </c>
      <c r="U159" s="11">
        <v>0</v>
      </c>
      <c r="V159" s="11">
        <v>0</v>
      </c>
      <c r="W159" s="11">
        <v>0</v>
      </c>
      <c r="X159" s="3" t="s">
        <v>39</v>
      </c>
      <c r="Y159" t="s">
        <v>457</v>
      </c>
      <c r="Z159" s="3" t="s">
        <v>39</v>
      </c>
    </row>
    <row r="160" spans="1:26" x14ac:dyDescent="0.25">
      <c r="A160" t="s">
        <v>467</v>
      </c>
      <c r="B160" t="s">
        <v>468</v>
      </c>
      <c r="C160" s="3" t="s">
        <v>359</v>
      </c>
      <c r="D160" s="3" t="str">
        <f>"666101465903360141"</f>
        <v>666101465903360141</v>
      </c>
      <c r="E160" s="3" t="s">
        <v>38</v>
      </c>
      <c r="F160" s="9">
        <v>6000</v>
      </c>
      <c r="G160" s="3" t="s">
        <v>39</v>
      </c>
      <c r="H160" s="3" t="s">
        <v>39</v>
      </c>
      <c r="I160" s="3" t="s">
        <v>40</v>
      </c>
      <c r="J160" t="str">
        <f>"14/06/2016 17:01"</f>
        <v>14/06/2016 17:01</v>
      </c>
      <c r="K160" s="3" t="s">
        <v>39</v>
      </c>
      <c r="L160" s="3" t="s">
        <v>39</v>
      </c>
      <c r="M160" t="str">
        <f>""</f>
        <v/>
      </c>
      <c r="N160" t="s">
        <v>469</v>
      </c>
      <c r="O160" t="s">
        <v>470</v>
      </c>
      <c r="P160" s="9">
        <v>1</v>
      </c>
      <c r="Q160" s="7">
        <v>6000</v>
      </c>
      <c r="R160" s="7">
        <v>5790</v>
      </c>
      <c r="S160" s="7">
        <v>210</v>
      </c>
      <c r="T160" s="11">
        <v>3.5000000000000003E-2</v>
      </c>
      <c r="U160" s="11">
        <v>0</v>
      </c>
      <c r="V160" s="11">
        <v>0</v>
      </c>
      <c r="W160" s="11">
        <v>0</v>
      </c>
      <c r="X160" s="3" t="s">
        <v>39</v>
      </c>
      <c r="Y160" t="s">
        <v>457</v>
      </c>
      <c r="Z160" s="3" t="s">
        <v>39</v>
      </c>
    </row>
    <row r="161" spans="1:26" x14ac:dyDescent="0.25">
      <c r="A161" t="s">
        <v>471</v>
      </c>
      <c r="B161" t="s">
        <v>472</v>
      </c>
      <c r="C161" s="3" t="s">
        <v>359</v>
      </c>
      <c r="D161" s="3" t="str">
        <f>"666101465903360141"</f>
        <v>666101465903360141</v>
      </c>
      <c r="E161" s="3" t="s">
        <v>38</v>
      </c>
      <c r="F161" s="9">
        <v>6000</v>
      </c>
      <c r="G161" s="3" t="s">
        <v>39</v>
      </c>
      <c r="H161" s="3" t="s">
        <v>39</v>
      </c>
      <c r="I161" s="3" t="s">
        <v>40</v>
      </c>
      <c r="J161" t="str">
        <f>"14/06/2016 17:01"</f>
        <v>14/06/2016 17:01</v>
      </c>
      <c r="K161" s="3" t="s">
        <v>39</v>
      </c>
      <c r="L161" s="3" t="s">
        <v>39</v>
      </c>
      <c r="M161" t="str">
        <f>""</f>
        <v/>
      </c>
      <c r="N161" t="s">
        <v>469</v>
      </c>
      <c r="O161" t="s">
        <v>470</v>
      </c>
      <c r="P161" s="9">
        <v>1</v>
      </c>
      <c r="Q161" s="7">
        <v>6000</v>
      </c>
      <c r="R161" s="7">
        <v>5790</v>
      </c>
      <c r="S161" s="7">
        <v>210</v>
      </c>
      <c r="T161" s="11">
        <v>3.5000000000000003E-2</v>
      </c>
      <c r="U161" s="11">
        <v>0</v>
      </c>
      <c r="V161" s="11">
        <v>0</v>
      </c>
      <c r="W161" s="11">
        <v>0</v>
      </c>
      <c r="X161" s="3" t="s">
        <v>39</v>
      </c>
      <c r="Y161" t="s">
        <v>457</v>
      </c>
      <c r="Z161" s="3" t="s">
        <v>39</v>
      </c>
    </row>
    <row r="162" spans="1:26" x14ac:dyDescent="0.25">
      <c r="A162" t="s">
        <v>473</v>
      </c>
      <c r="B162" t="s">
        <v>474</v>
      </c>
      <c r="C162" s="3" t="s">
        <v>359</v>
      </c>
      <c r="D162" s="3" t="str">
        <f>"666101465903360141"</f>
        <v>666101465903360141</v>
      </c>
      <c r="E162" s="3" t="s">
        <v>38</v>
      </c>
      <c r="F162" s="9">
        <v>6000</v>
      </c>
      <c r="G162" s="3" t="s">
        <v>39</v>
      </c>
      <c r="H162" s="3" t="s">
        <v>39</v>
      </c>
      <c r="I162" s="3" t="s">
        <v>40</v>
      </c>
      <c r="J162" t="str">
        <f>"14/06/2016 17:01"</f>
        <v>14/06/2016 17:01</v>
      </c>
      <c r="K162" s="3" t="s">
        <v>39</v>
      </c>
      <c r="L162" s="3" t="s">
        <v>39</v>
      </c>
      <c r="M162" t="str">
        <f>""</f>
        <v/>
      </c>
      <c r="N162" t="s">
        <v>469</v>
      </c>
      <c r="O162" t="s">
        <v>470</v>
      </c>
      <c r="P162" s="9">
        <v>1</v>
      </c>
      <c r="Q162" s="7">
        <v>6000</v>
      </c>
      <c r="R162" s="7">
        <v>5790</v>
      </c>
      <c r="S162" s="7">
        <v>210</v>
      </c>
      <c r="T162" s="11">
        <v>3.5000000000000003E-2</v>
      </c>
      <c r="U162" s="11">
        <v>0</v>
      </c>
      <c r="V162" s="11">
        <v>0</v>
      </c>
      <c r="W162" s="11">
        <v>0</v>
      </c>
      <c r="X162" s="3" t="s">
        <v>39</v>
      </c>
      <c r="Y162" t="s">
        <v>457</v>
      </c>
      <c r="Z162" s="3" t="s">
        <v>39</v>
      </c>
    </row>
    <row r="163" spans="1:26" x14ac:dyDescent="0.25">
      <c r="A163" t="s">
        <v>475</v>
      </c>
      <c r="B163" t="s">
        <v>476</v>
      </c>
      <c r="C163" s="3" t="s">
        <v>359</v>
      </c>
      <c r="D163" s="3" t="str">
        <f t="shared" ref="D163:D172" si="10">"772561465445179407"</f>
        <v>772561465445179407</v>
      </c>
      <c r="E163" s="3" t="s">
        <v>38</v>
      </c>
      <c r="F163" s="9">
        <v>3600</v>
      </c>
      <c r="G163" s="3" t="s">
        <v>260</v>
      </c>
      <c r="H163" s="3" t="s">
        <v>462</v>
      </c>
      <c r="I163" s="3" t="s">
        <v>40</v>
      </c>
      <c r="J163" t="str">
        <f t="shared" ref="J163:J172" si="11">"09/06/2016 09:39"</f>
        <v>09/06/2016 09:39</v>
      </c>
      <c r="K163" s="3" t="s">
        <v>39</v>
      </c>
      <c r="L163" s="3" t="s">
        <v>39</v>
      </c>
      <c r="M163" t="str">
        <f>""</f>
        <v/>
      </c>
      <c r="N163" t="s">
        <v>477</v>
      </c>
      <c r="O163" t="s">
        <v>478</v>
      </c>
      <c r="P163" s="9">
        <v>1</v>
      </c>
      <c r="Q163" s="7">
        <v>3600</v>
      </c>
      <c r="R163" s="7">
        <v>3474</v>
      </c>
      <c r="S163" s="7">
        <v>126</v>
      </c>
      <c r="T163" s="11">
        <v>3.5000000000000003E-2</v>
      </c>
      <c r="U163" s="11">
        <v>0</v>
      </c>
      <c r="V163" s="11">
        <v>0</v>
      </c>
      <c r="W163" s="11">
        <v>0</v>
      </c>
      <c r="X163" s="3" t="s">
        <v>39</v>
      </c>
      <c r="Y163" t="s">
        <v>479</v>
      </c>
      <c r="Z163" s="3" t="s">
        <v>39</v>
      </c>
    </row>
    <row r="164" spans="1:26" x14ac:dyDescent="0.25">
      <c r="A164" t="s">
        <v>480</v>
      </c>
      <c r="B164" t="s">
        <v>481</v>
      </c>
      <c r="C164" s="3" t="s">
        <v>359</v>
      </c>
      <c r="D164" s="3" t="str">
        <f t="shared" si="10"/>
        <v>772561465445179407</v>
      </c>
      <c r="E164" s="3" t="s">
        <v>38</v>
      </c>
      <c r="F164" s="9">
        <v>3600</v>
      </c>
      <c r="G164" s="3" t="s">
        <v>260</v>
      </c>
      <c r="H164" s="3" t="s">
        <v>462</v>
      </c>
      <c r="I164" s="3" t="s">
        <v>40</v>
      </c>
      <c r="J164" t="str">
        <f t="shared" si="11"/>
        <v>09/06/2016 09:39</v>
      </c>
      <c r="K164" s="3" t="s">
        <v>39</v>
      </c>
      <c r="L164" s="3" t="s">
        <v>39</v>
      </c>
      <c r="M164" t="str">
        <f>""</f>
        <v/>
      </c>
      <c r="N164" t="s">
        <v>477</v>
      </c>
      <c r="O164" t="s">
        <v>478</v>
      </c>
      <c r="P164" s="9">
        <v>1</v>
      </c>
      <c r="Q164" s="7">
        <v>3600</v>
      </c>
      <c r="R164" s="7">
        <v>3474</v>
      </c>
      <c r="S164" s="7">
        <v>126</v>
      </c>
      <c r="T164" s="11">
        <v>3.5000000000000003E-2</v>
      </c>
      <c r="U164" s="11">
        <v>0</v>
      </c>
      <c r="V164" s="11">
        <v>0</v>
      </c>
      <c r="W164" s="11">
        <v>0</v>
      </c>
      <c r="X164" s="3" t="s">
        <v>39</v>
      </c>
      <c r="Y164" t="s">
        <v>479</v>
      </c>
      <c r="Z164" s="3" t="s">
        <v>39</v>
      </c>
    </row>
    <row r="165" spans="1:26" x14ac:dyDescent="0.25">
      <c r="A165" t="s">
        <v>482</v>
      </c>
      <c r="B165" t="s">
        <v>483</v>
      </c>
      <c r="C165" s="3" t="s">
        <v>359</v>
      </c>
      <c r="D165" s="3" t="str">
        <f t="shared" si="10"/>
        <v>772561465445179407</v>
      </c>
      <c r="E165" s="3" t="s">
        <v>38</v>
      </c>
      <c r="F165" s="9">
        <v>3600</v>
      </c>
      <c r="G165" s="3" t="s">
        <v>260</v>
      </c>
      <c r="H165" s="3" t="s">
        <v>462</v>
      </c>
      <c r="I165" s="3" t="s">
        <v>40</v>
      </c>
      <c r="J165" t="str">
        <f t="shared" si="11"/>
        <v>09/06/2016 09:39</v>
      </c>
      <c r="K165" s="3" t="s">
        <v>39</v>
      </c>
      <c r="L165" s="3" t="s">
        <v>39</v>
      </c>
      <c r="M165" t="str">
        <f>""</f>
        <v/>
      </c>
      <c r="N165" t="s">
        <v>477</v>
      </c>
      <c r="O165" t="s">
        <v>478</v>
      </c>
      <c r="P165" s="9">
        <v>1</v>
      </c>
      <c r="Q165" s="7">
        <v>3600</v>
      </c>
      <c r="R165" s="7">
        <v>3474</v>
      </c>
      <c r="S165" s="7">
        <v>126</v>
      </c>
      <c r="T165" s="11">
        <v>3.5000000000000003E-2</v>
      </c>
      <c r="U165" s="11">
        <v>0</v>
      </c>
      <c r="V165" s="11">
        <v>0</v>
      </c>
      <c r="W165" s="11">
        <v>0</v>
      </c>
      <c r="X165" s="3" t="s">
        <v>39</v>
      </c>
      <c r="Y165" t="s">
        <v>479</v>
      </c>
      <c r="Z165" s="3" t="s">
        <v>39</v>
      </c>
    </row>
    <row r="166" spans="1:26" x14ac:dyDescent="0.25">
      <c r="A166" t="s">
        <v>484</v>
      </c>
      <c r="B166" t="s">
        <v>485</v>
      </c>
      <c r="C166" s="3" t="s">
        <v>359</v>
      </c>
      <c r="D166" s="3" t="str">
        <f t="shared" si="10"/>
        <v>772561465445179407</v>
      </c>
      <c r="E166" s="3" t="s">
        <v>38</v>
      </c>
      <c r="F166" s="9">
        <v>3600</v>
      </c>
      <c r="G166" s="3" t="s">
        <v>260</v>
      </c>
      <c r="H166" s="3" t="s">
        <v>462</v>
      </c>
      <c r="I166" s="3" t="s">
        <v>40</v>
      </c>
      <c r="J166" t="str">
        <f t="shared" si="11"/>
        <v>09/06/2016 09:39</v>
      </c>
      <c r="K166" s="3" t="s">
        <v>39</v>
      </c>
      <c r="L166" s="3" t="s">
        <v>39</v>
      </c>
      <c r="M166" t="str">
        <f>""</f>
        <v/>
      </c>
      <c r="N166" t="s">
        <v>477</v>
      </c>
      <c r="O166" t="s">
        <v>478</v>
      </c>
      <c r="P166" s="9">
        <v>1</v>
      </c>
      <c r="Q166" s="7">
        <v>3600</v>
      </c>
      <c r="R166" s="7">
        <v>3474</v>
      </c>
      <c r="S166" s="7">
        <v>126</v>
      </c>
      <c r="T166" s="11">
        <v>3.5000000000000003E-2</v>
      </c>
      <c r="U166" s="11">
        <v>0</v>
      </c>
      <c r="V166" s="11">
        <v>0</v>
      </c>
      <c r="W166" s="11">
        <v>0</v>
      </c>
      <c r="X166" s="3" t="s">
        <v>39</v>
      </c>
      <c r="Y166" t="s">
        <v>479</v>
      </c>
      <c r="Z166" s="3" t="s">
        <v>39</v>
      </c>
    </row>
    <row r="167" spans="1:26" x14ac:dyDescent="0.25">
      <c r="A167" t="s">
        <v>486</v>
      </c>
      <c r="B167" t="s">
        <v>487</v>
      </c>
      <c r="C167" s="3" t="s">
        <v>359</v>
      </c>
      <c r="D167" s="3" t="str">
        <f t="shared" si="10"/>
        <v>772561465445179407</v>
      </c>
      <c r="E167" s="3" t="s">
        <v>38</v>
      </c>
      <c r="F167" s="9">
        <v>3600</v>
      </c>
      <c r="G167" s="3" t="s">
        <v>260</v>
      </c>
      <c r="H167" s="3" t="s">
        <v>462</v>
      </c>
      <c r="I167" s="3" t="s">
        <v>40</v>
      </c>
      <c r="J167" t="str">
        <f t="shared" si="11"/>
        <v>09/06/2016 09:39</v>
      </c>
      <c r="K167" s="3" t="s">
        <v>39</v>
      </c>
      <c r="L167" s="3" t="s">
        <v>39</v>
      </c>
      <c r="M167" t="str">
        <f>""</f>
        <v/>
      </c>
      <c r="N167" t="s">
        <v>477</v>
      </c>
      <c r="O167" t="s">
        <v>478</v>
      </c>
      <c r="P167" s="9">
        <v>1</v>
      </c>
      <c r="Q167" s="7">
        <v>3600</v>
      </c>
      <c r="R167" s="7">
        <v>3474</v>
      </c>
      <c r="S167" s="7">
        <v>126</v>
      </c>
      <c r="T167" s="11">
        <v>3.5000000000000003E-2</v>
      </c>
      <c r="U167" s="11">
        <v>0</v>
      </c>
      <c r="V167" s="11">
        <v>0</v>
      </c>
      <c r="W167" s="11">
        <v>0</v>
      </c>
      <c r="X167" s="3" t="s">
        <v>39</v>
      </c>
      <c r="Y167" t="s">
        <v>479</v>
      </c>
      <c r="Z167" s="3" t="s">
        <v>39</v>
      </c>
    </row>
    <row r="168" spans="1:26" x14ac:dyDescent="0.25">
      <c r="A168" t="s">
        <v>488</v>
      </c>
      <c r="B168" t="s">
        <v>489</v>
      </c>
      <c r="C168" s="3" t="s">
        <v>359</v>
      </c>
      <c r="D168" s="3" t="str">
        <f t="shared" si="10"/>
        <v>772561465445179407</v>
      </c>
      <c r="E168" s="3" t="s">
        <v>38</v>
      </c>
      <c r="F168" s="9">
        <v>3600</v>
      </c>
      <c r="G168" s="3" t="s">
        <v>260</v>
      </c>
      <c r="H168" s="3" t="s">
        <v>462</v>
      </c>
      <c r="I168" s="3" t="s">
        <v>40</v>
      </c>
      <c r="J168" t="str">
        <f t="shared" si="11"/>
        <v>09/06/2016 09:39</v>
      </c>
      <c r="K168" s="3" t="s">
        <v>39</v>
      </c>
      <c r="L168" s="3" t="s">
        <v>39</v>
      </c>
      <c r="M168" t="str">
        <f>""</f>
        <v/>
      </c>
      <c r="N168" t="s">
        <v>477</v>
      </c>
      <c r="O168" t="s">
        <v>478</v>
      </c>
      <c r="P168" s="9">
        <v>1</v>
      </c>
      <c r="Q168" s="7">
        <v>3600</v>
      </c>
      <c r="R168" s="7">
        <v>3474</v>
      </c>
      <c r="S168" s="7">
        <v>126</v>
      </c>
      <c r="T168" s="11">
        <v>3.5000000000000003E-2</v>
      </c>
      <c r="U168" s="11">
        <v>0</v>
      </c>
      <c r="V168" s="11">
        <v>0</v>
      </c>
      <c r="W168" s="11">
        <v>0</v>
      </c>
      <c r="X168" s="3" t="s">
        <v>39</v>
      </c>
      <c r="Y168" t="s">
        <v>479</v>
      </c>
      <c r="Z168" s="3" t="s">
        <v>39</v>
      </c>
    </row>
    <row r="169" spans="1:26" x14ac:dyDescent="0.25">
      <c r="A169" t="s">
        <v>490</v>
      </c>
      <c r="B169" t="s">
        <v>491</v>
      </c>
      <c r="C169" s="3" t="s">
        <v>359</v>
      </c>
      <c r="D169" s="3" t="str">
        <f t="shared" si="10"/>
        <v>772561465445179407</v>
      </c>
      <c r="E169" s="3" t="s">
        <v>38</v>
      </c>
      <c r="F169" s="9">
        <v>3600</v>
      </c>
      <c r="G169" s="3" t="s">
        <v>260</v>
      </c>
      <c r="H169" s="3" t="s">
        <v>462</v>
      </c>
      <c r="I169" s="3" t="s">
        <v>40</v>
      </c>
      <c r="J169" t="str">
        <f t="shared" si="11"/>
        <v>09/06/2016 09:39</v>
      </c>
      <c r="K169" s="3" t="s">
        <v>39</v>
      </c>
      <c r="L169" s="3" t="s">
        <v>39</v>
      </c>
      <c r="M169" t="str">
        <f>""</f>
        <v/>
      </c>
      <c r="N169" t="s">
        <v>477</v>
      </c>
      <c r="O169" t="s">
        <v>478</v>
      </c>
      <c r="P169" s="9">
        <v>1</v>
      </c>
      <c r="Q169" s="7">
        <v>3600</v>
      </c>
      <c r="R169" s="7">
        <v>3474</v>
      </c>
      <c r="S169" s="7">
        <v>126</v>
      </c>
      <c r="T169" s="11">
        <v>3.5000000000000003E-2</v>
      </c>
      <c r="U169" s="11">
        <v>0</v>
      </c>
      <c r="V169" s="11">
        <v>0</v>
      </c>
      <c r="W169" s="11">
        <v>0</v>
      </c>
      <c r="X169" s="3" t="s">
        <v>39</v>
      </c>
      <c r="Y169" t="s">
        <v>479</v>
      </c>
      <c r="Z169" s="3" t="s">
        <v>39</v>
      </c>
    </row>
    <row r="170" spans="1:26" x14ac:dyDescent="0.25">
      <c r="A170" t="s">
        <v>492</v>
      </c>
      <c r="B170" t="s">
        <v>493</v>
      </c>
      <c r="C170" s="3" t="s">
        <v>359</v>
      </c>
      <c r="D170" s="3" t="str">
        <f t="shared" si="10"/>
        <v>772561465445179407</v>
      </c>
      <c r="E170" s="3" t="s">
        <v>38</v>
      </c>
      <c r="F170" s="9">
        <v>3600</v>
      </c>
      <c r="G170" s="3" t="s">
        <v>260</v>
      </c>
      <c r="H170" s="3" t="s">
        <v>462</v>
      </c>
      <c r="I170" s="3" t="s">
        <v>40</v>
      </c>
      <c r="J170" t="str">
        <f t="shared" si="11"/>
        <v>09/06/2016 09:39</v>
      </c>
      <c r="K170" s="3" t="s">
        <v>39</v>
      </c>
      <c r="L170" s="3" t="s">
        <v>39</v>
      </c>
      <c r="M170" t="str">
        <f>""</f>
        <v/>
      </c>
      <c r="N170" t="s">
        <v>477</v>
      </c>
      <c r="O170" t="s">
        <v>478</v>
      </c>
      <c r="P170" s="9">
        <v>1</v>
      </c>
      <c r="Q170" s="7">
        <v>3600</v>
      </c>
      <c r="R170" s="7">
        <v>3474</v>
      </c>
      <c r="S170" s="7">
        <v>126</v>
      </c>
      <c r="T170" s="11">
        <v>3.5000000000000003E-2</v>
      </c>
      <c r="U170" s="11">
        <v>0</v>
      </c>
      <c r="V170" s="11">
        <v>0</v>
      </c>
      <c r="W170" s="11">
        <v>0</v>
      </c>
      <c r="X170" s="3" t="s">
        <v>39</v>
      </c>
      <c r="Y170" t="s">
        <v>479</v>
      </c>
      <c r="Z170" s="3" t="s">
        <v>39</v>
      </c>
    </row>
    <row r="171" spans="1:26" x14ac:dyDescent="0.25">
      <c r="A171" t="s">
        <v>494</v>
      </c>
      <c r="B171" t="s">
        <v>495</v>
      </c>
      <c r="C171" s="3" t="s">
        <v>359</v>
      </c>
      <c r="D171" s="3" t="str">
        <f t="shared" si="10"/>
        <v>772561465445179407</v>
      </c>
      <c r="E171" s="3" t="s">
        <v>38</v>
      </c>
      <c r="F171" s="9">
        <v>3600</v>
      </c>
      <c r="G171" s="3" t="s">
        <v>260</v>
      </c>
      <c r="H171" s="3" t="s">
        <v>462</v>
      </c>
      <c r="I171" s="3" t="s">
        <v>40</v>
      </c>
      <c r="J171" t="str">
        <f t="shared" si="11"/>
        <v>09/06/2016 09:39</v>
      </c>
      <c r="K171" s="3" t="s">
        <v>39</v>
      </c>
      <c r="L171" s="3" t="s">
        <v>39</v>
      </c>
      <c r="M171" t="str">
        <f>""</f>
        <v/>
      </c>
      <c r="N171" t="s">
        <v>477</v>
      </c>
      <c r="O171" t="s">
        <v>478</v>
      </c>
      <c r="P171" s="9">
        <v>1</v>
      </c>
      <c r="Q171" s="7">
        <v>3600</v>
      </c>
      <c r="R171" s="7">
        <v>3474</v>
      </c>
      <c r="S171" s="7">
        <v>126</v>
      </c>
      <c r="T171" s="11">
        <v>3.5000000000000003E-2</v>
      </c>
      <c r="U171" s="11">
        <v>0</v>
      </c>
      <c r="V171" s="11">
        <v>0</v>
      </c>
      <c r="W171" s="11">
        <v>0</v>
      </c>
      <c r="X171" s="3" t="s">
        <v>39</v>
      </c>
      <c r="Y171" t="s">
        <v>479</v>
      </c>
      <c r="Z171" s="3" t="s">
        <v>39</v>
      </c>
    </row>
    <row r="172" spans="1:26" x14ac:dyDescent="0.25">
      <c r="A172" t="s">
        <v>496</v>
      </c>
      <c r="B172" t="s">
        <v>497</v>
      </c>
      <c r="C172" s="3" t="s">
        <v>359</v>
      </c>
      <c r="D172" s="3" t="str">
        <f t="shared" si="10"/>
        <v>772561465445179407</v>
      </c>
      <c r="E172" s="3" t="s">
        <v>38</v>
      </c>
      <c r="F172" s="9">
        <v>3600</v>
      </c>
      <c r="G172" s="3" t="s">
        <v>260</v>
      </c>
      <c r="H172" s="3" t="s">
        <v>462</v>
      </c>
      <c r="I172" s="3" t="s">
        <v>40</v>
      </c>
      <c r="J172" t="str">
        <f t="shared" si="11"/>
        <v>09/06/2016 09:39</v>
      </c>
      <c r="K172" s="3" t="s">
        <v>39</v>
      </c>
      <c r="L172" s="3" t="s">
        <v>39</v>
      </c>
      <c r="M172" t="str">
        <f>""</f>
        <v/>
      </c>
      <c r="N172" t="s">
        <v>477</v>
      </c>
      <c r="O172" t="s">
        <v>478</v>
      </c>
      <c r="P172" s="9">
        <v>1</v>
      </c>
      <c r="Q172" s="7">
        <v>3600</v>
      </c>
      <c r="R172" s="7">
        <v>3474</v>
      </c>
      <c r="S172" s="7">
        <v>126</v>
      </c>
      <c r="T172" s="11">
        <v>3.5000000000000003E-2</v>
      </c>
      <c r="U172" s="11">
        <v>0</v>
      </c>
      <c r="V172" s="11">
        <v>0</v>
      </c>
      <c r="W172" s="11">
        <v>0</v>
      </c>
      <c r="X172" s="3" t="s">
        <v>39</v>
      </c>
      <c r="Y172" t="s">
        <v>479</v>
      </c>
      <c r="Z172" s="3" t="s">
        <v>39</v>
      </c>
    </row>
    <row r="173" spans="1:26" x14ac:dyDescent="0.25">
      <c r="A173" t="s">
        <v>498</v>
      </c>
      <c r="B173" t="s">
        <v>499</v>
      </c>
      <c r="C173" s="3" t="s">
        <v>359</v>
      </c>
      <c r="D173" s="3" t="str">
        <f>"307051465197768922"</f>
        <v>307051465197768922</v>
      </c>
      <c r="E173" s="3" t="s">
        <v>38</v>
      </c>
      <c r="F173" s="9">
        <v>4800</v>
      </c>
      <c r="G173" s="3" t="s">
        <v>260</v>
      </c>
      <c r="H173" s="3" t="s">
        <v>500</v>
      </c>
      <c r="I173" s="3" t="s">
        <v>40</v>
      </c>
      <c r="J173" t="str">
        <f>"06/06/2016 12:56"</f>
        <v>06/06/2016 12:56</v>
      </c>
      <c r="K173" s="3" t="s">
        <v>39</v>
      </c>
      <c r="L173" s="3" t="s">
        <v>39</v>
      </c>
      <c r="M173" t="str">
        <f>""</f>
        <v/>
      </c>
      <c r="N173" t="s">
        <v>501</v>
      </c>
      <c r="O173" t="s">
        <v>502</v>
      </c>
      <c r="P173" s="9">
        <v>1</v>
      </c>
      <c r="Q173" s="7">
        <v>4800</v>
      </c>
      <c r="R173" s="7">
        <v>4632</v>
      </c>
      <c r="S173" s="7">
        <v>168</v>
      </c>
      <c r="T173" s="11">
        <v>3.5000000000000003E-2</v>
      </c>
      <c r="U173" s="11">
        <v>0</v>
      </c>
      <c r="V173" s="11">
        <v>0</v>
      </c>
      <c r="W173" s="11">
        <v>0</v>
      </c>
      <c r="X173" s="3" t="s">
        <v>39</v>
      </c>
      <c r="Y173" t="s">
        <v>479</v>
      </c>
      <c r="Z173" s="3" t="s">
        <v>39</v>
      </c>
    </row>
    <row r="174" spans="1:26" x14ac:dyDescent="0.25">
      <c r="A174" t="s">
        <v>503</v>
      </c>
      <c r="B174" t="s">
        <v>504</v>
      </c>
      <c r="C174" s="3" t="s">
        <v>359</v>
      </c>
      <c r="D174" s="3" t="str">
        <f>"307051465197768922"</f>
        <v>307051465197768922</v>
      </c>
      <c r="E174" s="3" t="s">
        <v>38</v>
      </c>
      <c r="F174" s="9">
        <v>4800</v>
      </c>
      <c r="G174" s="3" t="s">
        <v>260</v>
      </c>
      <c r="H174" s="3" t="s">
        <v>500</v>
      </c>
      <c r="I174" s="3" t="s">
        <v>40</v>
      </c>
      <c r="J174" t="str">
        <f>"06/06/2016 12:56"</f>
        <v>06/06/2016 12:56</v>
      </c>
      <c r="K174" s="3" t="s">
        <v>39</v>
      </c>
      <c r="L174" s="3" t="s">
        <v>39</v>
      </c>
      <c r="M174" t="str">
        <f>""</f>
        <v/>
      </c>
      <c r="N174" t="s">
        <v>501</v>
      </c>
      <c r="O174" t="s">
        <v>502</v>
      </c>
      <c r="P174" s="9">
        <v>1</v>
      </c>
      <c r="Q174" s="7">
        <v>4800</v>
      </c>
      <c r="R174" s="7">
        <v>4632</v>
      </c>
      <c r="S174" s="7">
        <v>168</v>
      </c>
      <c r="T174" s="11">
        <v>3.5000000000000003E-2</v>
      </c>
      <c r="U174" s="11">
        <v>0</v>
      </c>
      <c r="V174" s="11">
        <v>0</v>
      </c>
      <c r="W174" s="11">
        <v>0</v>
      </c>
      <c r="X174" s="3" t="s">
        <v>39</v>
      </c>
      <c r="Y174" t="s">
        <v>479</v>
      </c>
      <c r="Z174" s="3" t="s">
        <v>39</v>
      </c>
    </row>
    <row r="175" spans="1:26" x14ac:dyDescent="0.25">
      <c r="A175" t="s">
        <v>505</v>
      </c>
      <c r="B175" t="s">
        <v>506</v>
      </c>
      <c r="C175" s="3" t="s">
        <v>359</v>
      </c>
      <c r="D175" s="3" t="str">
        <f>"501021464982895386"</f>
        <v>501021464982895386</v>
      </c>
      <c r="E175" s="3" t="s">
        <v>38</v>
      </c>
      <c r="F175" s="9">
        <v>6000</v>
      </c>
      <c r="G175" s="3" t="s">
        <v>39</v>
      </c>
      <c r="H175" s="3" t="s">
        <v>39</v>
      </c>
      <c r="I175" s="3" t="s">
        <v>40</v>
      </c>
      <c r="J175" t="str">
        <f>"04/06/2016 01:14"</f>
        <v>04/06/2016 01:14</v>
      </c>
      <c r="K175" s="3" t="s">
        <v>39</v>
      </c>
      <c r="L175" s="3" t="s">
        <v>39</v>
      </c>
      <c r="M175" t="str">
        <f>""</f>
        <v/>
      </c>
      <c r="N175" t="s">
        <v>505</v>
      </c>
      <c r="O175" t="s">
        <v>506</v>
      </c>
      <c r="P175" s="9">
        <v>1</v>
      </c>
      <c r="Q175" s="7">
        <v>6000</v>
      </c>
      <c r="R175" s="7">
        <v>5790</v>
      </c>
      <c r="S175" s="7">
        <v>210</v>
      </c>
      <c r="T175" s="11">
        <v>3.5000000000000003E-2</v>
      </c>
      <c r="U175" s="11">
        <v>0</v>
      </c>
      <c r="V175" s="11">
        <v>0</v>
      </c>
      <c r="W175" s="11">
        <v>0</v>
      </c>
      <c r="X175" s="3" t="s">
        <v>39</v>
      </c>
      <c r="Y175" t="s">
        <v>479</v>
      </c>
      <c r="Z175" s="3" t="s">
        <v>39</v>
      </c>
    </row>
    <row r="176" spans="1:26" x14ac:dyDescent="0.25">
      <c r="A176" t="s">
        <v>367</v>
      </c>
      <c r="B176" t="s">
        <v>368</v>
      </c>
      <c r="C176" s="3" t="s">
        <v>359</v>
      </c>
      <c r="D176" s="3" t="str">
        <f t="shared" ref="D176:D183" si="12">"265561464588271662"</f>
        <v>265561464588271662</v>
      </c>
      <c r="E176" s="3" t="s">
        <v>38</v>
      </c>
      <c r="F176" s="9">
        <v>4200</v>
      </c>
      <c r="G176" s="3" t="s">
        <v>260</v>
      </c>
      <c r="H176" s="3" t="s">
        <v>369</v>
      </c>
      <c r="I176" s="3" t="s">
        <v>40</v>
      </c>
      <c r="J176" t="str">
        <f t="shared" ref="J176:J183" si="13">"30/05/2016 11:40"</f>
        <v>30/05/2016 11:40</v>
      </c>
      <c r="K176" s="3" t="s">
        <v>39</v>
      </c>
      <c r="L176" s="3" t="s">
        <v>39</v>
      </c>
      <c r="M176" t="str">
        <f>""</f>
        <v/>
      </c>
      <c r="N176" t="s">
        <v>370</v>
      </c>
      <c r="O176" t="s">
        <v>371</v>
      </c>
      <c r="P176" s="9">
        <v>1</v>
      </c>
      <c r="Q176" s="7">
        <v>4200</v>
      </c>
      <c r="R176" s="7">
        <v>4053</v>
      </c>
      <c r="S176" s="7">
        <v>147</v>
      </c>
      <c r="T176" s="11">
        <v>3.5000000000000003E-2</v>
      </c>
      <c r="U176" s="11">
        <v>0</v>
      </c>
      <c r="V176" s="11">
        <v>0</v>
      </c>
      <c r="W176" s="11">
        <v>0</v>
      </c>
      <c r="X176" s="3" t="s">
        <v>39</v>
      </c>
      <c r="Y176" t="s">
        <v>507</v>
      </c>
      <c r="Z176" s="3" t="s">
        <v>39</v>
      </c>
    </row>
    <row r="177" spans="1:26" x14ac:dyDescent="0.25">
      <c r="A177" t="s">
        <v>372</v>
      </c>
      <c r="B177" t="s">
        <v>373</v>
      </c>
      <c r="C177" s="3" t="s">
        <v>359</v>
      </c>
      <c r="D177" s="3" t="str">
        <f t="shared" si="12"/>
        <v>265561464588271662</v>
      </c>
      <c r="E177" s="3" t="s">
        <v>38</v>
      </c>
      <c r="F177" s="9">
        <v>4200</v>
      </c>
      <c r="G177" s="3" t="s">
        <v>260</v>
      </c>
      <c r="H177" s="3" t="s">
        <v>369</v>
      </c>
      <c r="I177" s="3" t="s">
        <v>40</v>
      </c>
      <c r="J177" t="str">
        <f t="shared" si="13"/>
        <v>30/05/2016 11:40</v>
      </c>
      <c r="K177" s="3" t="s">
        <v>39</v>
      </c>
      <c r="L177" s="3" t="s">
        <v>39</v>
      </c>
      <c r="M177" t="str">
        <f>""</f>
        <v/>
      </c>
      <c r="N177" t="s">
        <v>370</v>
      </c>
      <c r="O177" t="s">
        <v>371</v>
      </c>
      <c r="P177" s="9">
        <v>1</v>
      </c>
      <c r="Q177" s="7">
        <v>4200</v>
      </c>
      <c r="R177" s="7">
        <v>4053</v>
      </c>
      <c r="S177" s="7">
        <v>147</v>
      </c>
      <c r="T177" s="11">
        <v>3.5000000000000003E-2</v>
      </c>
      <c r="U177" s="11">
        <v>0</v>
      </c>
      <c r="V177" s="11">
        <v>0</v>
      </c>
      <c r="W177" s="11">
        <v>0</v>
      </c>
      <c r="X177" s="3" t="s">
        <v>39</v>
      </c>
      <c r="Y177" t="s">
        <v>507</v>
      </c>
      <c r="Z177" s="3" t="s">
        <v>39</v>
      </c>
    </row>
    <row r="178" spans="1:26" x14ac:dyDescent="0.25">
      <c r="A178" t="s">
        <v>374</v>
      </c>
      <c r="B178" t="s">
        <v>375</v>
      </c>
      <c r="C178" s="3" t="s">
        <v>359</v>
      </c>
      <c r="D178" s="3" t="str">
        <f t="shared" si="12"/>
        <v>265561464588271662</v>
      </c>
      <c r="E178" s="3" t="s">
        <v>38</v>
      </c>
      <c r="F178" s="9">
        <v>4200</v>
      </c>
      <c r="G178" s="3" t="s">
        <v>260</v>
      </c>
      <c r="H178" s="3" t="s">
        <v>369</v>
      </c>
      <c r="I178" s="3" t="s">
        <v>40</v>
      </c>
      <c r="J178" t="str">
        <f t="shared" si="13"/>
        <v>30/05/2016 11:40</v>
      </c>
      <c r="K178" s="3" t="s">
        <v>39</v>
      </c>
      <c r="L178" s="3" t="s">
        <v>39</v>
      </c>
      <c r="M178" t="str">
        <f>""</f>
        <v/>
      </c>
      <c r="N178" t="s">
        <v>370</v>
      </c>
      <c r="O178" t="s">
        <v>371</v>
      </c>
      <c r="P178" s="9">
        <v>1</v>
      </c>
      <c r="Q178" s="7">
        <v>4200</v>
      </c>
      <c r="R178" s="7">
        <v>4053</v>
      </c>
      <c r="S178" s="7">
        <v>147</v>
      </c>
      <c r="T178" s="11">
        <v>3.5000000000000003E-2</v>
      </c>
      <c r="U178" s="11">
        <v>0</v>
      </c>
      <c r="V178" s="11">
        <v>0</v>
      </c>
      <c r="W178" s="11">
        <v>0</v>
      </c>
      <c r="X178" s="3" t="s">
        <v>39</v>
      </c>
      <c r="Y178" t="s">
        <v>507</v>
      </c>
      <c r="Z178" s="3" t="s">
        <v>39</v>
      </c>
    </row>
    <row r="179" spans="1:26" x14ac:dyDescent="0.25">
      <c r="A179" t="s">
        <v>376</v>
      </c>
      <c r="B179" t="s">
        <v>377</v>
      </c>
      <c r="C179" s="3" t="s">
        <v>359</v>
      </c>
      <c r="D179" s="3" t="str">
        <f t="shared" si="12"/>
        <v>265561464588271662</v>
      </c>
      <c r="E179" s="3" t="s">
        <v>38</v>
      </c>
      <c r="F179" s="9">
        <v>4200</v>
      </c>
      <c r="G179" s="3" t="s">
        <v>260</v>
      </c>
      <c r="H179" s="3" t="s">
        <v>369</v>
      </c>
      <c r="I179" s="3" t="s">
        <v>40</v>
      </c>
      <c r="J179" t="str">
        <f t="shared" si="13"/>
        <v>30/05/2016 11:40</v>
      </c>
      <c r="K179" s="3" t="s">
        <v>39</v>
      </c>
      <c r="L179" s="3" t="s">
        <v>39</v>
      </c>
      <c r="M179" t="str">
        <f>""</f>
        <v/>
      </c>
      <c r="N179" t="s">
        <v>370</v>
      </c>
      <c r="O179" t="s">
        <v>371</v>
      </c>
      <c r="P179" s="9">
        <v>1</v>
      </c>
      <c r="Q179" s="7">
        <v>4200</v>
      </c>
      <c r="R179" s="7">
        <v>4053</v>
      </c>
      <c r="S179" s="7">
        <v>147</v>
      </c>
      <c r="T179" s="11">
        <v>3.5000000000000003E-2</v>
      </c>
      <c r="U179" s="11">
        <v>0</v>
      </c>
      <c r="V179" s="11">
        <v>0</v>
      </c>
      <c r="W179" s="11">
        <v>0</v>
      </c>
      <c r="X179" s="3" t="s">
        <v>39</v>
      </c>
      <c r="Y179" t="s">
        <v>507</v>
      </c>
      <c r="Z179" s="3" t="s">
        <v>39</v>
      </c>
    </row>
    <row r="180" spans="1:26" x14ac:dyDescent="0.25">
      <c r="A180" t="s">
        <v>378</v>
      </c>
      <c r="B180" t="s">
        <v>379</v>
      </c>
      <c r="C180" s="3" t="s">
        <v>359</v>
      </c>
      <c r="D180" s="3" t="str">
        <f t="shared" si="12"/>
        <v>265561464588271662</v>
      </c>
      <c r="E180" s="3" t="s">
        <v>38</v>
      </c>
      <c r="F180" s="9">
        <v>4200</v>
      </c>
      <c r="G180" s="3" t="s">
        <v>260</v>
      </c>
      <c r="H180" s="3" t="s">
        <v>369</v>
      </c>
      <c r="I180" s="3" t="s">
        <v>40</v>
      </c>
      <c r="J180" t="str">
        <f t="shared" si="13"/>
        <v>30/05/2016 11:40</v>
      </c>
      <c r="K180" s="3" t="s">
        <v>39</v>
      </c>
      <c r="L180" s="3" t="s">
        <v>39</v>
      </c>
      <c r="M180" t="str">
        <f>""</f>
        <v/>
      </c>
      <c r="N180" t="s">
        <v>370</v>
      </c>
      <c r="O180" t="s">
        <v>371</v>
      </c>
      <c r="P180" s="9">
        <v>1</v>
      </c>
      <c r="Q180" s="7">
        <v>4200</v>
      </c>
      <c r="R180" s="7">
        <v>4053</v>
      </c>
      <c r="S180" s="7">
        <v>147</v>
      </c>
      <c r="T180" s="11">
        <v>3.5000000000000003E-2</v>
      </c>
      <c r="U180" s="11">
        <v>0</v>
      </c>
      <c r="V180" s="11">
        <v>0</v>
      </c>
      <c r="W180" s="11">
        <v>0</v>
      </c>
      <c r="X180" s="3" t="s">
        <v>39</v>
      </c>
      <c r="Y180" t="s">
        <v>507</v>
      </c>
      <c r="Z180" s="3" t="s">
        <v>39</v>
      </c>
    </row>
    <row r="181" spans="1:26" x14ac:dyDescent="0.25">
      <c r="A181" t="s">
        <v>380</v>
      </c>
      <c r="B181" t="s">
        <v>381</v>
      </c>
      <c r="C181" s="3" t="s">
        <v>359</v>
      </c>
      <c r="D181" s="3" t="str">
        <f t="shared" si="12"/>
        <v>265561464588271662</v>
      </c>
      <c r="E181" s="3" t="s">
        <v>38</v>
      </c>
      <c r="F181" s="9">
        <v>4200</v>
      </c>
      <c r="G181" s="3" t="s">
        <v>260</v>
      </c>
      <c r="H181" s="3" t="s">
        <v>369</v>
      </c>
      <c r="I181" s="3" t="s">
        <v>40</v>
      </c>
      <c r="J181" t="str">
        <f t="shared" si="13"/>
        <v>30/05/2016 11:40</v>
      </c>
      <c r="K181" s="3" t="s">
        <v>39</v>
      </c>
      <c r="L181" s="3" t="s">
        <v>39</v>
      </c>
      <c r="M181" t="str">
        <f>""</f>
        <v/>
      </c>
      <c r="N181" t="s">
        <v>370</v>
      </c>
      <c r="O181" t="s">
        <v>371</v>
      </c>
      <c r="P181" s="9">
        <v>1</v>
      </c>
      <c r="Q181" s="7">
        <v>4200</v>
      </c>
      <c r="R181" s="7">
        <v>4053</v>
      </c>
      <c r="S181" s="7">
        <v>147</v>
      </c>
      <c r="T181" s="11">
        <v>3.5000000000000003E-2</v>
      </c>
      <c r="U181" s="11">
        <v>0</v>
      </c>
      <c r="V181" s="11">
        <v>0</v>
      </c>
      <c r="W181" s="11">
        <v>0</v>
      </c>
      <c r="X181" s="3" t="s">
        <v>39</v>
      </c>
      <c r="Y181" t="s">
        <v>507</v>
      </c>
      <c r="Z181" s="3" t="s">
        <v>39</v>
      </c>
    </row>
    <row r="182" spans="1:26" x14ac:dyDescent="0.25">
      <c r="A182" t="s">
        <v>382</v>
      </c>
      <c r="B182" t="s">
        <v>383</v>
      </c>
      <c r="C182" s="3" t="s">
        <v>359</v>
      </c>
      <c r="D182" s="3" t="str">
        <f t="shared" si="12"/>
        <v>265561464588271662</v>
      </c>
      <c r="E182" s="3" t="s">
        <v>38</v>
      </c>
      <c r="F182" s="9">
        <v>4200</v>
      </c>
      <c r="G182" s="3" t="s">
        <v>260</v>
      </c>
      <c r="H182" s="3" t="s">
        <v>369</v>
      </c>
      <c r="I182" s="3" t="s">
        <v>40</v>
      </c>
      <c r="J182" t="str">
        <f t="shared" si="13"/>
        <v>30/05/2016 11:40</v>
      </c>
      <c r="K182" s="3" t="s">
        <v>39</v>
      </c>
      <c r="L182" s="3" t="s">
        <v>39</v>
      </c>
      <c r="M182" t="str">
        <f>""</f>
        <v/>
      </c>
      <c r="N182" t="s">
        <v>370</v>
      </c>
      <c r="O182" t="s">
        <v>371</v>
      </c>
      <c r="P182" s="9">
        <v>1</v>
      </c>
      <c r="Q182" s="7">
        <v>4200</v>
      </c>
      <c r="R182" s="7">
        <v>4053</v>
      </c>
      <c r="S182" s="7">
        <v>147</v>
      </c>
      <c r="T182" s="11">
        <v>3.5000000000000003E-2</v>
      </c>
      <c r="U182" s="11">
        <v>0</v>
      </c>
      <c r="V182" s="11">
        <v>0</v>
      </c>
      <c r="W182" s="11">
        <v>0</v>
      </c>
      <c r="X182" s="3" t="s">
        <v>39</v>
      </c>
      <c r="Y182" t="s">
        <v>507</v>
      </c>
      <c r="Z182" s="3" t="s">
        <v>39</v>
      </c>
    </row>
    <row r="183" spans="1:26" x14ac:dyDescent="0.25">
      <c r="A183" t="s">
        <v>384</v>
      </c>
      <c r="B183" t="s">
        <v>385</v>
      </c>
      <c r="C183" s="3" t="s">
        <v>359</v>
      </c>
      <c r="D183" s="3" t="str">
        <f t="shared" si="12"/>
        <v>265561464588271662</v>
      </c>
      <c r="E183" s="3" t="s">
        <v>38</v>
      </c>
      <c r="F183" s="9">
        <v>4200</v>
      </c>
      <c r="G183" s="3" t="s">
        <v>260</v>
      </c>
      <c r="H183" s="3" t="s">
        <v>369</v>
      </c>
      <c r="I183" s="3" t="s">
        <v>40</v>
      </c>
      <c r="J183" t="str">
        <f t="shared" si="13"/>
        <v>30/05/2016 11:40</v>
      </c>
      <c r="K183" s="3" t="s">
        <v>39</v>
      </c>
      <c r="L183" s="3" t="s">
        <v>39</v>
      </c>
      <c r="M183" t="str">
        <f>""</f>
        <v/>
      </c>
      <c r="N183" t="s">
        <v>370</v>
      </c>
      <c r="O183" t="s">
        <v>371</v>
      </c>
      <c r="P183" s="9">
        <v>1</v>
      </c>
      <c r="Q183" s="7">
        <v>4200</v>
      </c>
      <c r="R183" s="7">
        <v>4053</v>
      </c>
      <c r="S183" s="7">
        <v>147</v>
      </c>
      <c r="T183" s="11">
        <v>3.5000000000000003E-2</v>
      </c>
      <c r="U183" s="11">
        <v>0</v>
      </c>
      <c r="V183" s="11">
        <v>0</v>
      </c>
      <c r="W183" s="11">
        <v>0</v>
      </c>
      <c r="X183" s="3" t="s">
        <v>39</v>
      </c>
      <c r="Y183" t="s">
        <v>507</v>
      </c>
      <c r="Z183" s="3" t="s">
        <v>39</v>
      </c>
    </row>
    <row r="184" spans="1:26" x14ac:dyDescent="0.25">
      <c r="A184" t="s">
        <v>510</v>
      </c>
      <c r="B184" t="s">
        <v>511</v>
      </c>
      <c r="C184" s="3" t="s">
        <v>359</v>
      </c>
      <c r="D184" t="str">
        <f t="shared" ref="D184:D192" si="14">"675301467699363351"</f>
        <v>675301467699363351</v>
      </c>
      <c r="E184" s="3" t="s">
        <v>38</v>
      </c>
      <c r="F184" s="9">
        <v>3600</v>
      </c>
      <c r="G184" s="3" t="s">
        <v>260</v>
      </c>
      <c r="H184" s="3" t="s">
        <v>512</v>
      </c>
      <c r="I184" s="3" t="s">
        <v>40</v>
      </c>
      <c r="J184" t="str">
        <f t="shared" ref="J184:J192" si="15">"05/07/2016 11:51"</f>
        <v>05/07/2016 11:51</v>
      </c>
      <c r="K184" s="3" t="str">
        <f>"L"</f>
        <v>L</v>
      </c>
      <c r="L184" s="3" t="s">
        <v>39</v>
      </c>
      <c r="M184" t="str">
        <f>""</f>
        <v/>
      </c>
      <c r="N184" t="s">
        <v>513</v>
      </c>
      <c r="O184" t="s">
        <v>514</v>
      </c>
      <c r="P184" s="9">
        <v>1</v>
      </c>
      <c r="Q184" s="7">
        <v>3600</v>
      </c>
      <c r="R184" s="7">
        <v>3474</v>
      </c>
      <c r="S184" s="7">
        <v>126</v>
      </c>
      <c r="T184" s="11">
        <v>3.5000000000000003E-2</v>
      </c>
      <c r="U184" s="11">
        <v>0</v>
      </c>
      <c r="V184" s="11">
        <v>0</v>
      </c>
      <c r="W184" s="11">
        <v>0</v>
      </c>
      <c r="X184" s="3" t="s">
        <v>39</v>
      </c>
      <c r="Y184" t="s">
        <v>555</v>
      </c>
      <c r="Z184" s="3" t="s">
        <v>39</v>
      </c>
    </row>
    <row r="185" spans="1:26" x14ac:dyDescent="0.25">
      <c r="A185" t="s">
        <v>515</v>
      </c>
      <c r="B185" t="s">
        <v>516</v>
      </c>
      <c r="C185" s="3" t="s">
        <v>359</v>
      </c>
      <c r="D185" t="str">
        <f t="shared" si="14"/>
        <v>675301467699363351</v>
      </c>
      <c r="E185" s="3" t="s">
        <v>38</v>
      </c>
      <c r="F185" s="9">
        <v>3600</v>
      </c>
      <c r="G185" s="3" t="s">
        <v>260</v>
      </c>
      <c r="H185" s="3" t="s">
        <v>512</v>
      </c>
      <c r="I185" s="3" t="s">
        <v>40</v>
      </c>
      <c r="J185" t="str">
        <f t="shared" si="15"/>
        <v>05/07/2016 11:51</v>
      </c>
      <c r="K185" s="3" t="str">
        <f>"L"</f>
        <v>L</v>
      </c>
      <c r="L185" s="3" t="s">
        <v>39</v>
      </c>
      <c r="M185" t="str">
        <f>""</f>
        <v/>
      </c>
      <c r="N185" t="s">
        <v>513</v>
      </c>
      <c r="O185" t="s">
        <v>514</v>
      </c>
      <c r="P185" s="9">
        <v>1</v>
      </c>
      <c r="Q185" s="7">
        <v>3600</v>
      </c>
      <c r="R185" s="7">
        <v>3474</v>
      </c>
      <c r="S185" s="7">
        <v>126</v>
      </c>
      <c r="T185" s="11">
        <v>3.5000000000000003E-2</v>
      </c>
      <c r="U185" s="11">
        <v>0</v>
      </c>
      <c r="V185" s="11">
        <v>0</v>
      </c>
      <c r="W185" s="11">
        <v>0</v>
      </c>
      <c r="X185" s="3" t="s">
        <v>39</v>
      </c>
      <c r="Y185" t="s">
        <v>555</v>
      </c>
      <c r="Z185" s="3" t="s">
        <v>39</v>
      </c>
    </row>
    <row r="186" spans="1:26" x14ac:dyDescent="0.25">
      <c r="A186" t="s">
        <v>517</v>
      </c>
      <c r="B186" t="s">
        <v>518</v>
      </c>
      <c r="C186" s="3" t="s">
        <v>359</v>
      </c>
      <c r="D186" t="str">
        <f t="shared" si="14"/>
        <v>675301467699363351</v>
      </c>
      <c r="E186" s="3" t="s">
        <v>38</v>
      </c>
      <c r="F186" s="9">
        <v>3600</v>
      </c>
      <c r="G186" s="3" t="s">
        <v>260</v>
      </c>
      <c r="H186" s="3" t="s">
        <v>512</v>
      </c>
      <c r="I186" s="3" t="s">
        <v>40</v>
      </c>
      <c r="J186" t="str">
        <f t="shared" si="15"/>
        <v>05/07/2016 11:51</v>
      </c>
      <c r="K186" s="3" t="str">
        <f>"L"</f>
        <v>L</v>
      </c>
      <c r="L186" s="3" t="s">
        <v>39</v>
      </c>
      <c r="M186" t="str">
        <f>""</f>
        <v/>
      </c>
      <c r="N186" t="s">
        <v>513</v>
      </c>
      <c r="O186" t="s">
        <v>514</v>
      </c>
      <c r="P186" s="9">
        <v>1</v>
      </c>
      <c r="Q186" s="7">
        <v>3600</v>
      </c>
      <c r="R186" s="7">
        <v>3474</v>
      </c>
      <c r="S186" s="7">
        <v>126</v>
      </c>
      <c r="T186" s="11">
        <v>3.5000000000000003E-2</v>
      </c>
      <c r="U186" s="11">
        <v>0</v>
      </c>
      <c r="V186" s="11">
        <v>0</v>
      </c>
      <c r="W186" s="11">
        <v>0</v>
      </c>
      <c r="X186" s="3" t="s">
        <v>39</v>
      </c>
      <c r="Y186" t="s">
        <v>555</v>
      </c>
      <c r="Z186" s="3" t="s">
        <v>39</v>
      </c>
    </row>
    <row r="187" spans="1:26" x14ac:dyDescent="0.25">
      <c r="A187" t="s">
        <v>519</v>
      </c>
      <c r="B187" t="s">
        <v>520</v>
      </c>
      <c r="C187" s="3" t="s">
        <v>359</v>
      </c>
      <c r="D187" t="str">
        <f t="shared" si="14"/>
        <v>675301467699363351</v>
      </c>
      <c r="E187" s="3" t="s">
        <v>38</v>
      </c>
      <c r="F187" s="9">
        <v>3600</v>
      </c>
      <c r="G187" s="3" t="s">
        <v>260</v>
      </c>
      <c r="H187" s="3" t="s">
        <v>512</v>
      </c>
      <c r="I187" s="3" t="s">
        <v>40</v>
      </c>
      <c r="J187" t="str">
        <f t="shared" si="15"/>
        <v>05/07/2016 11:51</v>
      </c>
      <c r="K187" s="3" t="str">
        <f>"M"</f>
        <v>M</v>
      </c>
      <c r="L187" s="3" t="s">
        <v>39</v>
      </c>
      <c r="M187" t="str">
        <f>""</f>
        <v/>
      </c>
      <c r="N187" t="s">
        <v>513</v>
      </c>
      <c r="O187" t="s">
        <v>514</v>
      </c>
      <c r="P187" s="9">
        <v>1</v>
      </c>
      <c r="Q187" s="7">
        <v>3600</v>
      </c>
      <c r="R187" s="7">
        <v>3474</v>
      </c>
      <c r="S187" s="7">
        <v>126</v>
      </c>
      <c r="T187" s="11">
        <v>3.5000000000000003E-2</v>
      </c>
      <c r="U187" s="11">
        <v>0</v>
      </c>
      <c r="V187" s="11">
        <v>0</v>
      </c>
      <c r="W187" s="11">
        <v>0</v>
      </c>
      <c r="X187" s="3" t="s">
        <v>39</v>
      </c>
      <c r="Y187" t="s">
        <v>555</v>
      </c>
      <c r="Z187" s="3" t="s">
        <v>39</v>
      </c>
    </row>
    <row r="188" spans="1:26" x14ac:dyDescent="0.25">
      <c r="A188" t="s">
        <v>521</v>
      </c>
      <c r="B188" t="s">
        <v>522</v>
      </c>
      <c r="C188" s="3" t="s">
        <v>359</v>
      </c>
      <c r="D188" t="str">
        <f t="shared" si="14"/>
        <v>675301467699363351</v>
      </c>
      <c r="E188" s="3" t="s">
        <v>38</v>
      </c>
      <c r="F188" s="9">
        <v>3600</v>
      </c>
      <c r="G188" s="3" t="s">
        <v>260</v>
      </c>
      <c r="H188" s="3" t="s">
        <v>512</v>
      </c>
      <c r="I188" s="3" t="s">
        <v>40</v>
      </c>
      <c r="J188" t="str">
        <f t="shared" si="15"/>
        <v>05/07/2016 11:51</v>
      </c>
      <c r="K188" s="3" t="str">
        <f>"L"</f>
        <v>L</v>
      </c>
      <c r="L188" s="3" t="s">
        <v>39</v>
      </c>
      <c r="M188" t="str">
        <f>""</f>
        <v/>
      </c>
      <c r="N188" t="s">
        <v>513</v>
      </c>
      <c r="O188" t="s">
        <v>514</v>
      </c>
      <c r="P188" s="9">
        <v>1</v>
      </c>
      <c r="Q188" s="7">
        <v>3600</v>
      </c>
      <c r="R188" s="7">
        <v>3474</v>
      </c>
      <c r="S188" s="7">
        <v>126</v>
      </c>
      <c r="T188" s="11">
        <v>3.5000000000000003E-2</v>
      </c>
      <c r="U188" s="11">
        <v>0</v>
      </c>
      <c r="V188" s="11">
        <v>0</v>
      </c>
      <c r="W188" s="11">
        <v>0</v>
      </c>
      <c r="X188" s="3" t="s">
        <v>39</v>
      </c>
      <c r="Y188" t="s">
        <v>555</v>
      </c>
      <c r="Z188" s="3" t="s">
        <v>39</v>
      </c>
    </row>
    <row r="189" spans="1:26" x14ac:dyDescent="0.25">
      <c r="A189" t="s">
        <v>523</v>
      </c>
      <c r="B189" t="s">
        <v>524</v>
      </c>
      <c r="C189" s="3" t="s">
        <v>359</v>
      </c>
      <c r="D189" t="str">
        <f t="shared" si="14"/>
        <v>675301467699363351</v>
      </c>
      <c r="E189" s="3" t="s">
        <v>38</v>
      </c>
      <c r="F189" s="9">
        <v>3600</v>
      </c>
      <c r="G189" s="3" t="s">
        <v>260</v>
      </c>
      <c r="H189" s="3" t="s">
        <v>512</v>
      </c>
      <c r="I189" s="3" t="s">
        <v>40</v>
      </c>
      <c r="J189" t="str">
        <f t="shared" si="15"/>
        <v>05/07/2016 11:51</v>
      </c>
      <c r="K189" s="3" t="str">
        <f>"M"</f>
        <v>M</v>
      </c>
      <c r="L189" s="3" t="s">
        <v>39</v>
      </c>
      <c r="M189" t="str">
        <f>""</f>
        <v/>
      </c>
      <c r="N189" t="s">
        <v>513</v>
      </c>
      <c r="O189" t="s">
        <v>514</v>
      </c>
      <c r="P189" s="9">
        <v>1</v>
      </c>
      <c r="Q189" s="7">
        <v>3600</v>
      </c>
      <c r="R189" s="7">
        <v>3474</v>
      </c>
      <c r="S189" s="7">
        <v>126</v>
      </c>
      <c r="T189" s="11">
        <v>3.5000000000000003E-2</v>
      </c>
      <c r="U189" s="11">
        <v>0</v>
      </c>
      <c r="V189" s="11">
        <v>0</v>
      </c>
      <c r="W189" s="11">
        <v>0</v>
      </c>
      <c r="X189" s="3" t="s">
        <v>39</v>
      </c>
      <c r="Y189" t="s">
        <v>555</v>
      </c>
      <c r="Z189" s="3" t="s">
        <v>39</v>
      </c>
    </row>
    <row r="190" spans="1:26" x14ac:dyDescent="0.25">
      <c r="A190" t="s">
        <v>525</v>
      </c>
      <c r="B190" t="s">
        <v>526</v>
      </c>
      <c r="C190" s="3" t="s">
        <v>359</v>
      </c>
      <c r="D190" t="str">
        <f t="shared" si="14"/>
        <v>675301467699363351</v>
      </c>
      <c r="E190" s="3" t="s">
        <v>38</v>
      </c>
      <c r="F190" s="9">
        <v>3600</v>
      </c>
      <c r="G190" s="3" t="s">
        <v>260</v>
      </c>
      <c r="H190" s="3" t="s">
        <v>512</v>
      </c>
      <c r="I190" s="3" t="s">
        <v>40</v>
      </c>
      <c r="J190" t="str">
        <f t="shared" si="15"/>
        <v>05/07/2016 11:51</v>
      </c>
      <c r="K190" s="3" t="str">
        <f>"L"</f>
        <v>L</v>
      </c>
      <c r="L190" s="3" t="s">
        <v>39</v>
      </c>
      <c r="M190" t="str">
        <f>""</f>
        <v/>
      </c>
      <c r="N190" t="s">
        <v>513</v>
      </c>
      <c r="O190" t="s">
        <v>514</v>
      </c>
      <c r="P190" s="9">
        <v>1</v>
      </c>
      <c r="Q190" s="7">
        <v>3600</v>
      </c>
      <c r="R190" s="7">
        <v>3474</v>
      </c>
      <c r="S190" s="7">
        <v>126</v>
      </c>
      <c r="T190" s="11">
        <v>3.5000000000000003E-2</v>
      </c>
      <c r="U190" s="11">
        <v>0</v>
      </c>
      <c r="V190" s="11">
        <v>0</v>
      </c>
      <c r="W190" s="11">
        <v>0</v>
      </c>
      <c r="X190" s="3" t="s">
        <v>39</v>
      </c>
      <c r="Y190" t="s">
        <v>555</v>
      </c>
      <c r="Z190" s="3" t="s">
        <v>39</v>
      </c>
    </row>
    <row r="191" spans="1:26" x14ac:dyDescent="0.25">
      <c r="A191" t="s">
        <v>527</v>
      </c>
      <c r="B191" t="s">
        <v>528</v>
      </c>
      <c r="C191" s="3" t="s">
        <v>359</v>
      </c>
      <c r="D191" t="str">
        <f t="shared" si="14"/>
        <v>675301467699363351</v>
      </c>
      <c r="E191" s="3" t="s">
        <v>38</v>
      </c>
      <c r="F191" s="9">
        <v>3600</v>
      </c>
      <c r="G191" s="3" t="s">
        <v>260</v>
      </c>
      <c r="H191" s="3" t="s">
        <v>512</v>
      </c>
      <c r="I191" s="3" t="s">
        <v>40</v>
      </c>
      <c r="J191" t="str">
        <f t="shared" si="15"/>
        <v>05/07/2016 11:51</v>
      </c>
      <c r="K191" s="3" t="str">
        <f>"L"</f>
        <v>L</v>
      </c>
      <c r="L191" s="3" t="s">
        <v>39</v>
      </c>
      <c r="M191" t="str">
        <f>""</f>
        <v/>
      </c>
      <c r="N191" t="s">
        <v>513</v>
      </c>
      <c r="O191" t="s">
        <v>514</v>
      </c>
      <c r="P191" s="9">
        <v>1</v>
      </c>
      <c r="Q191" s="7">
        <v>3600</v>
      </c>
      <c r="R191" s="7">
        <v>3474</v>
      </c>
      <c r="S191" s="7">
        <v>126</v>
      </c>
      <c r="T191" s="11">
        <v>3.5000000000000003E-2</v>
      </c>
      <c r="U191" s="11">
        <v>0</v>
      </c>
      <c r="V191" s="11">
        <v>0</v>
      </c>
      <c r="W191" s="11">
        <v>0</v>
      </c>
      <c r="X191" s="3" t="s">
        <v>39</v>
      </c>
      <c r="Y191" t="s">
        <v>555</v>
      </c>
      <c r="Z191" s="3" t="s">
        <v>39</v>
      </c>
    </row>
    <row r="192" spans="1:26" x14ac:dyDescent="0.25">
      <c r="A192" t="s">
        <v>529</v>
      </c>
      <c r="B192" t="s">
        <v>530</v>
      </c>
      <c r="C192" s="3" t="s">
        <v>359</v>
      </c>
      <c r="D192" t="str">
        <f t="shared" si="14"/>
        <v>675301467699363351</v>
      </c>
      <c r="E192" s="3" t="s">
        <v>38</v>
      </c>
      <c r="F192" s="9">
        <v>3600</v>
      </c>
      <c r="G192" s="3" t="s">
        <v>260</v>
      </c>
      <c r="H192" s="3" t="s">
        <v>512</v>
      </c>
      <c r="I192" s="3" t="s">
        <v>40</v>
      </c>
      <c r="J192" t="str">
        <f t="shared" si="15"/>
        <v>05/07/2016 11:51</v>
      </c>
      <c r="K192" s="3" t="str">
        <f>"S"</f>
        <v>S</v>
      </c>
      <c r="L192" s="3" t="s">
        <v>39</v>
      </c>
      <c r="M192" t="str">
        <f>""</f>
        <v/>
      </c>
      <c r="N192" t="s">
        <v>513</v>
      </c>
      <c r="O192" t="s">
        <v>514</v>
      </c>
      <c r="P192" s="9">
        <v>1</v>
      </c>
      <c r="Q192" s="7">
        <v>3600</v>
      </c>
      <c r="R192" s="7">
        <v>3474</v>
      </c>
      <c r="S192" s="7">
        <v>126</v>
      </c>
      <c r="T192" s="11">
        <v>3.5000000000000003E-2</v>
      </c>
      <c r="U192" s="11">
        <v>0</v>
      </c>
      <c r="V192" s="11">
        <v>0</v>
      </c>
      <c r="W192" s="11">
        <v>0</v>
      </c>
      <c r="X192" s="3" t="s">
        <v>39</v>
      </c>
      <c r="Y192" t="s">
        <v>555</v>
      </c>
      <c r="Z192" s="3" t="s">
        <v>39</v>
      </c>
    </row>
    <row r="193" spans="1:26" x14ac:dyDescent="0.25">
      <c r="A193" t="s">
        <v>531</v>
      </c>
      <c r="B193" t="s">
        <v>532</v>
      </c>
      <c r="C193" s="3" t="s">
        <v>359</v>
      </c>
      <c r="D193" t="str">
        <f>"144211467610982594"</f>
        <v>144211467610982594</v>
      </c>
      <c r="E193" s="3" t="s">
        <v>38</v>
      </c>
      <c r="F193" s="9">
        <v>6000</v>
      </c>
      <c r="G193" s="3" t="s">
        <v>39</v>
      </c>
      <c r="H193" s="3" t="s">
        <v>39</v>
      </c>
      <c r="I193" s="3" t="s">
        <v>40</v>
      </c>
      <c r="J193" t="str">
        <f>"04/07/2016 11:15"</f>
        <v>04/07/2016 11:15</v>
      </c>
      <c r="K193" s="3" t="str">
        <f>"XL"</f>
        <v>XL</v>
      </c>
      <c r="L193" s="3" t="s">
        <v>39</v>
      </c>
      <c r="M193" t="str">
        <f>""</f>
        <v/>
      </c>
      <c r="N193" t="s">
        <v>533</v>
      </c>
      <c r="O193" t="s">
        <v>534</v>
      </c>
      <c r="P193" s="9">
        <v>1</v>
      </c>
      <c r="Q193" s="7">
        <v>6000</v>
      </c>
      <c r="R193" s="7">
        <v>5790</v>
      </c>
      <c r="S193" s="7">
        <v>210</v>
      </c>
      <c r="T193" s="11">
        <v>3.5000000000000003E-2</v>
      </c>
      <c r="U193" s="11">
        <v>0</v>
      </c>
      <c r="V193" s="11">
        <v>0</v>
      </c>
      <c r="W193" s="11">
        <v>0</v>
      </c>
      <c r="X193" s="3" t="s">
        <v>39</v>
      </c>
      <c r="Y193" t="s">
        <v>555</v>
      </c>
      <c r="Z193" s="3" t="s">
        <v>39</v>
      </c>
    </row>
    <row r="194" spans="1:26" x14ac:dyDescent="0.25">
      <c r="A194" t="s">
        <v>535</v>
      </c>
      <c r="B194" t="s">
        <v>536</v>
      </c>
      <c r="C194" s="3" t="s">
        <v>359</v>
      </c>
      <c r="D194" t="str">
        <f>"211031467380373181"</f>
        <v>211031467380373181</v>
      </c>
      <c r="E194" s="3" t="s">
        <v>38</v>
      </c>
      <c r="F194" s="9">
        <v>4800</v>
      </c>
      <c r="G194" s="3" t="s">
        <v>537</v>
      </c>
      <c r="H194" s="3" t="s">
        <v>538</v>
      </c>
      <c r="I194" s="3" t="s">
        <v>40</v>
      </c>
      <c r="J194" t="str">
        <f>"01/07/2016 19:12"</f>
        <v>01/07/2016 19:12</v>
      </c>
      <c r="K194" s="3" t="str">
        <f>"M"</f>
        <v>M</v>
      </c>
      <c r="L194" s="3" t="s">
        <v>39</v>
      </c>
      <c r="M194" t="str">
        <f>""</f>
        <v/>
      </c>
      <c r="N194" t="s">
        <v>535</v>
      </c>
      <c r="O194" t="s">
        <v>536</v>
      </c>
      <c r="P194" s="9">
        <v>1</v>
      </c>
      <c r="Q194" s="7">
        <v>4800</v>
      </c>
      <c r="R194" s="7">
        <v>4632</v>
      </c>
      <c r="S194" s="7">
        <v>168</v>
      </c>
      <c r="T194" s="11">
        <v>3.5000000000000003E-2</v>
      </c>
      <c r="U194" s="11">
        <v>0</v>
      </c>
      <c r="V194" s="11">
        <v>0</v>
      </c>
      <c r="W194" s="11">
        <v>0</v>
      </c>
      <c r="X194" s="3" t="s">
        <v>39</v>
      </c>
      <c r="Y194" t="s">
        <v>555</v>
      </c>
      <c r="Z194" s="3" t="s">
        <v>39</v>
      </c>
    </row>
    <row r="195" spans="1:26" x14ac:dyDescent="0.25">
      <c r="A195" t="s">
        <v>539</v>
      </c>
      <c r="B195" t="s">
        <v>540</v>
      </c>
      <c r="C195" s="3" t="s">
        <v>359</v>
      </c>
      <c r="D195" t="str">
        <f>"211031467380373181"</f>
        <v>211031467380373181</v>
      </c>
      <c r="E195" s="3" t="s">
        <v>38</v>
      </c>
      <c r="F195" s="9">
        <v>4800</v>
      </c>
      <c r="G195" s="3" t="s">
        <v>537</v>
      </c>
      <c r="H195" s="3" t="s">
        <v>538</v>
      </c>
      <c r="I195" s="3" t="s">
        <v>40</v>
      </c>
      <c r="J195" t="str">
        <f>"01/07/2016 19:12"</f>
        <v>01/07/2016 19:12</v>
      </c>
      <c r="K195" s="3" t="str">
        <f>"L"</f>
        <v>L</v>
      </c>
      <c r="L195" s="3" t="s">
        <v>39</v>
      </c>
      <c r="M195" t="str">
        <f>""</f>
        <v/>
      </c>
      <c r="N195" t="s">
        <v>535</v>
      </c>
      <c r="O195" t="s">
        <v>536</v>
      </c>
      <c r="P195" s="9">
        <v>1</v>
      </c>
      <c r="Q195" s="7">
        <v>4800</v>
      </c>
      <c r="R195" s="7">
        <v>4632</v>
      </c>
      <c r="S195" s="7">
        <v>168</v>
      </c>
      <c r="T195" s="11">
        <v>3.5000000000000003E-2</v>
      </c>
      <c r="U195" s="11">
        <v>0</v>
      </c>
      <c r="V195" s="11">
        <v>0</v>
      </c>
      <c r="W195" s="11">
        <v>0</v>
      </c>
      <c r="X195" s="3" t="s">
        <v>39</v>
      </c>
      <c r="Y195" t="s">
        <v>555</v>
      </c>
      <c r="Z195" s="3" t="s">
        <v>39</v>
      </c>
    </row>
    <row r="196" spans="1:26" x14ac:dyDescent="0.25">
      <c r="A196" t="s">
        <v>541</v>
      </c>
      <c r="B196" t="s">
        <v>542</v>
      </c>
      <c r="C196" s="3" t="s">
        <v>359</v>
      </c>
      <c r="D196" t="str">
        <f>"575351467284567183"</f>
        <v>575351467284567183</v>
      </c>
      <c r="E196" s="3" t="s">
        <v>38</v>
      </c>
      <c r="F196" s="9">
        <v>3000</v>
      </c>
      <c r="G196" s="3" t="s">
        <v>260</v>
      </c>
      <c r="H196" s="3" t="s">
        <v>454</v>
      </c>
      <c r="I196" s="3" t="s">
        <v>40</v>
      </c>
      <c r="J196" t="str">
        <f>"30/06/2016 16:35"</f>
        <v>30/06/2016 16:35</v>
      </c>
      <c r="K196" s="3" t="str">
        <f>"XXL"</f>
        <v>XXL</v>
      </c>
      <c r="L196" s="3" t="s">
        <v>39</v>
      </c>
      <c r="M196" t="str">
        <f>""</f>
        <v/>
      </c>
      <c r="N196" t="s">
        <v>541</v>
      </c>
      <c r="O196" t="s">
        <v>542</v>
      </c>
      <c r="P196" s="9">
        <v>1</v>
      </c>
      <c r="Q196" s="7">
        <v>3000</v>
      </c>
      <c r="R196" s="7">
        <v>2895</v>
      </c>
      <c r="S196" s="7">
        <v>105</v>
      </c>
      <c r="T196" s="11">
        <v>3.5000000000000003E-2</v>
      </c>
      <c r="U196" s="11">
        <v>0</v>
      </c>
      <c r="V196" s="11">
        <v>0</v>
      </c>
      <c r="W196" s="11">
        <v>0</v>
      </c>
      <c r="X196" s="3" t="s">
        <v>39</v>
      </c>
      <c r="Y196" t="s">
        <v>555</v>
      </c>
      <c r="Z196" s="3" t="s">
        <v>39</v>
      </c>
    </row>
    <row r="197" spans="1:26" x14ac:dyDescent="0.25">
      <c r="A197" t="s">
        <v>543</v>
      </c>
      <c r="B197" t="s">
        <v>544</v>
      </c>
      <c r="C197" s="3" t="s">
        <v>359</v>
      </c>
      <c r="D197" t="str">
        <f>"523171467277204238"</f>
        <v>523171467277204238</v>
      </c>
      <c r="E197" s="3" t="s">
        <v>38</v>
      </c>
      <c r="F197" s="9">
        <v>3600</v>
      </c>
      <c r="G197" s="3" t="s">
        <v>260</v>
      </c>
      <c r="H197" s="3" t="s">
        <v>545</v>
      </c>
      <c r="I197" s="3" t="s">
        <v>40</v>
      </c>
      <c r="J197" t="str">
        <f>"30/06/2016 14:31"</f>
        <v>30/06/2016 14:31</v>
      </c>
      <c r="K197" s="3" t="str">
        <f>"M"</f>
        <v>M</v>
      </c>
      <c r="L197" s="3" t="s">
        <v>39</v>
      </c>
      <c r="M197" t="str">
        <f>""</f>
        <v/>
      </c>
      <c r="N197" t="s">
        <v>543</v>
      </c>
      <c r="O197" t="s">
        <v>544</v>
      </c>
      <c r="P197" s="9">
        <v>1</v>
      </c>
      <c r="Q197" s="7">
        <v>3600</v>
      </c>
      <c r="R197" s="7">
        <v>3474</v>
      </c>
      <c r="S197" s="7">
        <v>126</v>
      </c>
      <c r="T197" s="11">
        <v>3.5000000000000003E-2</v>
      </c>
      <c r="U197" s="11">
        <v>0</v>
      </c>
      <c r="V197" s="11">
        <v>0</v>
      </c>
      <c r="W197" s="11">
        <v>0</v>
      </c>
      <c r="X197" s="3" t="s">
        <v>39</v>
      </c>
      <c r="Y197" t="s">
        <v>555</v>
      </c>
      <c r="Z197" s="3" t="s">
        <v>39</v>
      </c>
    </row>
    <row r="198" spans="1:26" x14ac:dyDescent="0.25">
      <c r="A198" t="s">
        <v>546</v>
      </c>
      <c r="B198" t="s">
        <v>547</v>
      </c>
      <c r="C198" s="3" t="s">
        <v>359</v>
      </c>
      <c r="D198" t="str">
        <f>"306311467199211764"</f>
        <v>306311467199211764</v>
      </c>
      <c r="E198" s="3" t="s">
        <v>38</v>
      </c>
      <c r="F198" s="9">
        <v>3600</v>
      </c>
      <c r="G198" s="3" t="s">
        <v>260</v>
      </c>
      <c r="H198" s="3" t="s">
        <v>545</v>
      </c>
      <c r="I198" s="3" t="s">
        <v>40</v>
      </c>
      <c r="J198" t="str">
        <f>"29/06/2016 16:55"</f>
        <v>29/06/2016 16:55</v>
      </c>
      <c r="K198" s="3" t="str">
        <f>"Medium"</f>
        <v>Medium</v>
      </c>
      <c r="L198" s="3" t="s">
        <v>39</v>
      </c>
      <c r="M198" t="str">
        <f>""</f>
        <v/>
      </c>
      <c r="N198" t="s">
        <v>546</v>
      </c>
      <c r="O198" t="s">
        <v>547</v>
      </c>
      <c r="P198" s="9">
        <v>1</v>
      </c>
      <c r="Q198" s="7">
        <v>3600</v>
      </c>
      <c r="R198" s="7">
        <v>3474</v>
      </c>
      <c r="S198" s="7">
        <v>126</v>
      </c>
      <c r="T198" s="11">
        <v>3.5000000000000003E-2</v>
      </c>
      <c r="U198" s="11">
        <v>0</v>
      </c>
      <c r="V198" s="11">
        <v>0</v>
      </c>
      <c r="W198" s="11">
        <v>0</v>
      </c>
      <c r="X198" s="3" t="s">
        <v>39</v>
      </c>
      <c r="Y198" t="s">
        <v>555</v>
      </c>
      <c r="Z198" s="3" t="s">
        <v>39</v>
      </c>
    </row>
    <row r="199" spans="1:26" x14ac:dyDescent="0.25">
      <c r="A199" t="s">
        <v>548</v>
      </c>
      <c r="B199" t="s">
        <v>549</v>
      </c>
      <c r="C199" s="3" t="s">
        <v>359</v>
      </c>
      <c r="D199" t="str">
        <f>"533571467118583145"</f>
        <v>533571467118583145</v>
      </c>
      <c r="E199" s="3" t="s">
        <v>38</v>
      </c>
      <c r="F199" s="9">
        <v>3600</v>
      </c>
      <c r="G199" s="3" t="s">
        <v>260</v>
      </c>
      <c r="H199" s="3" t="s">
        <v>545</v>
      </c>
      <c r="I199" s="3" t="s">
        <v>40</v>
      </c>
      <c r="J199" t="str">
        <f>"28/06/2016 18:28"</f>
        <v>28/06/2016 18:28</v>
      </c>
      <c r="K199" s="3" t="str">
        <f>"Medium"</f>
        <v>Medium</v>
      </c>
      <c r="L199" s="3" t="s">
        <v>39</v>
      </c>
      <c r="M199" t="str">
        <f>""</f>
        <v/>
      </c>
      <c r="N199" t="s">
        <v>548</v>
      </c>
      <c r="O199" t="s">
        <v>549</v>
      </c>
      <c r="P199" s="9">
        <v>1</v>
      </c>
      <c r="Q199" s="7">
        <v>3600</v>
      </c>
      <c r="R199" s="7">
        <v>3474</v>
      </c>
      <c r="S199" s="7">
        <v>126</v>
      </c>
      <c r="T199" s="11">
        <v>3.5000000000000003E-2</v>
      </c>
      <c r="U199" s="11">
        <v>0</v>
      </c>
      <c r="V199" s="11">
        <v>0</v>
      </c>
      <c r="W199" s="11">
        <v>0</v>
      </c>
      <c r="X199" s="3" t="s">
        <v>39</v>
      </c>
      <c r="Y199" t="s">
        <v>555</v>
      </c>
      <c r="Z199" s="3" t="s">
        <v>39</v>
      </c>
    </row>
    <row r="200" spans="1:26" x14ac:dyDescent="0.25">
      <c r="A200" t="s">
        <v>550</v>
      </c>
      <c r="B200" t="s">
        <v>551</v>
      </c>
      <c r="C200" s="3" t="s">
        <v>359</v>
      </c>
      <c r="D200" t="str">
        <f>"611161467116992885"</f>
        <v>611161467116992885</v>
      </c>
      <c r="E200" s="3" t="s">
        <v>38</v>
      </c>
      <c r="F200" s="9">
        <v>6000</v>
      </c>
      <c r="G200" s="3" t="s">
        <v>39</v>
      </c>
      <c r="H200" s="3" t="s">
        <v>39</v>
      </c>
      <c r="I200" s="3" t="s">
        <v>40</v>
      </c>
      <c r="J200" t="str">
        <f>"28/06/2016 18:04"</f>
        <v>28/06/2016 18:04</v>
      </c>
      <c r="K200" s="3" t="str">
        <f>"Medium"</f>
        <v>Medium</v>
      </c>
      <c r="L200" s="3" t="s">
        <v>39</v>
      </c>
      <c r="M200" t="str">
        <f>""</f>
        <v/>
      </c>
      <c r="N200" t="s">
        <v>550</v>
      </c>
      <c r="O200" t="s">
        <v>551</v>
      </c>
      <c r="P200" s="9">
        <v>1</v>
      </c>
      <c r="Q200" s="7">
        <v>6000</v>
      </c>
      <c r="R200" s="7">
        <v>5790</v>
      </c>
      <c r="S200" s="7">
        <v>210</v>
      </c>
      <c r="T200" s="11">
        <v>3.5000000000000003E-2</v>
      </c>
      <c r="U200" s="11">
        <v>0</v>
      </c>
      <c r="V200" s="11">
        <v>0</v>
      </c>
      <c r="W200" s="11">
        <v>0</v>
      </c>
      <c r="X200" s="3" t="s">
        <v>39</v>
      </c>
      <c r="Y200" t="s">
        <v>555</v>
      </c>
      <c r="Z200" s="3" t="s">
        <v>39</v>
      </c>
    </row>
    <row r="201" spans="1:26" x14ac:dyDescent="0.25">
      <c r="A201" t="s">
        <v>552</v>
      </c>
      <c r="B201" t="s">
        <v>553</v>
      </c>
      <c r="C201" s="3" t="s">
        <v>359</v>
      </c>
      <c r="D201" t="str">
        <f>"260121467109414956"</f>
        <v>260121467109414956</v>
      </c>
      <c r="E201" s="3" t="s">
        <v>38</v>
      </c>
      <c r="F201" s="9">
        <v>3600</v>
      </c>
      <c r="G201" s="3" t="s">
        <v>260</v>
      </c>
      <c r="H201" s="3" t="s">
        <v>545</v>
      </c>
      <c r="I201" s="3" t="s">
        <v>40</v>
      </c>
      <c r="J201" t="str">
        <f>"28/06/2016 15:56"</f>
        <v>28/06/2016 15:56</v>
      </c>
      <c r="K201" s="3" t="s">
        <v>39</v>
      </c>
      <c r="L201" s="3" t="s">
        <v>39</v>
      </c>
      <c r="M201" t="str">
        <f>""</f>
        <v/>
      </c>
      <c r="N201" t="s">
        <v>552</v>
      </c>
      <c r="O201" t="s">
        <v>553</v>
      </c>
      <c r="P201" s="9">
        <v>1</v>
      </c>
      <c r="Q201" s="7">
        <v>3600</v>
      </c>
      <c r="R201" s="7">
        <v>3474</v>
      </c>
      <c r="S201" s="7">
        <v>126</v>
      </c>
      <c r="T201" s="11">
        <v>3.5000000000000003E-2</v>
      </c>
      <c r="U201" s="11">
        <v>0</v>
      </c>
      <c r="V201" s="11">
        <v>0</v>
      </c>
      <c r="W201" s="11">
        <v>0</v>
      </c>
      <c r="X201" s="3" t="s">
        <v>39</v>
      </c>
      <c r="Y201" t="s">
        <v>555</v>
      </c>
      <c r="Z201" s="3" t="s">
        <v>39</v>
      </c>
    </row>
    <row r="202" spans="1:26" x14ac:dyDescent="0.25">
      <c r="A202" t="s">
        <v>554</v>
      </c>
      <c r="B202" t="s">
        <v>534</v>
      </c>
      <c r="C202" s="3" t="s">
        <v>359</v>
      </c>
      <c r="D202" t="str">
        <f>"423001467074923244"</f>
        <v>423001467074923244</v>
      </c>
      <c r="E202" s="3" t="s">
        <v>38</v>
      </c>
      <c r="F202" s="9">
        <v>6000</v>
      </c>
      <c r="G202" s="3" t="s">
        <v>39</v>
      </c>
      <c r="H202" s="3" t="s">
        <v>39</v>
      </c>
      <c r="I202" s="3" t="s">
        <v>40</v>
      </c>
      <c r="J202" t="str">
        <f>"28/06/2016 06:20"</f>
        <v>28/06/2016 06:20</v>
      </c>
      <c r="K202" s="3" t="s">
        <v>39</v>
      </c>
      <c r="L202" s="3" t="s">
        <v>39</v>
      </c>
      <c r="M202" t="str">
        <f>""</f>
        <v/>
      </c>
      <c r="N202" t="s">
        <v>554</v>
      </c>
      <c r="O202" t="s">
        <v>534</v>
      </c>
      <c r="P202" s="9">
        <v>1</v>
      </c>
      <c r="Q202" s="7">
        <v>6000</v>
      </c>
      <c r="R202" s="7">
        <v>5790</v>
      </c>
      <c r="S202" s="7">
        <v>210</v>
      </c>
      <c r="T202" s="11">
        <v>3.5000000000000003E-2</v>
      </c>
      <c r="U202" s="11">
        <v>0</v>
      </c>
      <c r="V202" s="11">
        <v>0</v>
      </c>
      <c r="W202" s="11">
        <v>0</v>
      </c>
      <c r="X202" s="3" t="s">
        <v>39</v>
      </c>
      <c r="Y202" t="s">
        <v>555</v>
      </c>
      <c r="Z202" s="3" t="s">
        <v>39</v>
      </c>
    </row>
    <row r="203" spans="1:26" x14ac:dyDescent="0.25">
      <c r="A203" t="s">
        <v>556</v>
      </c>
      <c r="B203" t="s">
        <v>557</v>
      </c>
      <c r="C203" s="3" t="s">
        <v>359</v>
      </c>
      <c r="D203" t="str">
        <f>"576001467979407721"</f>
        <v>576001467979407721</v>
      </c>
      <c r="E203" s="3" t="s">
        <v>38</v>
      </c>
      <c r="F203" s="17">
        <v>6000</v>
      </c>
      <c r="G203" s="3" t="s">
        <v>39</v>
      </c>
      <c r="H203" s="3" t="s">
        <v>39</v>
      </c>
      <c r="I203" s="3" t="s">
        <v>40</v>
      </c>
      <c r="J203" t="str">
        <f>"08/07/2016 17:35"</f>
        <v>08/07/2016 17:35</v>
      </c>
      <c r="K203" s="3" t="str">
        <f>"M"</f>
        <v>M</v>
      </c>
      <c r="L203" s="3" t="str">
        <f>"9880008144"</f>
        <v>9880008144</v>
      </c>
      <c r="M203" s="3" t="str">
        <f t="shared" ref="M203" si="16">"Male"</f>
        <v>Male</v>
      </c>
      <c r="N203" t="s">
        <v>558</v>
      </c>
      <c r="O203" t="s">
        <v>559</v>
      </c>
      <c r="P203" s="9">
        <v>1</v>
      </c>
      <c r="Q203" s="7">
        <v>6000</v>
      </c>
      <c r="R203" s="7">
        <v>5790</v>
      </c>
      <c r="S203" s="7">
        <v>210</v>
      </c>
      <c r="T203" s="11">
        <v>3.5000000000000003E-2</v>
      </c>
      <c r="U203" s="11">
        <v>0</v>
      </c>
      <c r="V203" s="11">
        <v>0</v>
      </c>
      <c r="W203" s="11">
        <v>0</v>
      </c>
      <c r="X203" s="3" t="s">
        <v>39</v>
      </c>
      <c r="Y203" t="s">
        <v>560</v>
      </c>
      <c r="Z203" s="3" t="s">
        <v>39</v>
      </c>
    </row>
    <row r="204" spans="1:26" x14ac:dyDescent="0.25">
      <c r="A204" t="s">
        <v>561</v>
      </c>
      <c r="B204" t="s">
        <v>562</v>
      </c>
      <c r="C204" s="3" t="s">
        <v>359</v>
      </c>
      <c r="D204" t="str">
        <f>"672361467971490789"</f>
        <v>672361467971490789</v>
      </c>
      <c r="E204" s="3" t="s">
        <v>38</v>
      </c>
      <c r="F204" s="17">
        <v>3600</v>
      </c>
      <c r="G204" s="3" t="s">
        <v>260</v>
      </c>
      <c r="H204" s="3" t="s">
        <v>545</v>
      </c>
      <c r="I204" s="3" t="s">
        <v>40</v>
      </c>
      <c r="J204" t="str">
        <f>"08/07/2016 15:24"</f>
        <v>08/07/2016 15:24</v>
      </c>
      <c r="K204" s="3" t="str">
        <f>"Small"</f>
        <v>Small</v>
      </c>
      <c r="L204" s="3" t="str">
        <f>"9819884728"</f>
        <v>9819884728</v>
      </c>
      <c r="M204" s="3" t="str">
        <f>"Female"</f>
        <v>Female</v>
      </c>
      <c r="N204" t="s">
        <v>561</v>
      </c>
      <c r="O204" t="s">
        <v>562</v>
      </c>
      <c r="P204" s="9">
        <v>1</v>
      </c>
      <c r="Q204" s="7">
        <v>3600</v>
      </c>
      <c r="R204" s="7">
        <v>3474</v>
      </c>
      <c r="S204" s="7">
        <v>126</v>
      </c>
      <c r="T204" s="11">
        <v>3.5000000000000003E-2</v>
      </c>
      <c r="U204" s="11">
        <v>0</v>
      </c>
      <c r="V204" s="11">
        <v>0</v>
      </c>
      <c r="W204" s="11">
        <v>0</v>
      </c>
      <c r="X204" s="3" t="s">
        <v>39</v>
      </c>
      <c r="Y204" t="s">
        <v>560</v>
      </c>
      <c r="Z204" s="3" t="s">
        <v>39</v>
      </c>
    </row>
    <row r="205" spans="1:26" x14ac:dyDescent="0.25">
      <c r="A205" t="s">
        <v>563</v>
      </c>
      <c r="B205" t="s">
        <v>564</v>
      </c>
      <c r="C205" s="3" t="s">
        <v>359</v>
      </c>
      <c r="D205" t="str">
        <f>"666301467970367948"</f>
        <v>666301467970367948</v>
      </c>
      <c r="E205" s="3" t="s">
        <v>38</v>
      </c>
      <c r="F205" s="17">
        <v>3600</v>
      </c>
      <c r="G205" s="3" t="s">
        <v>260</v>
      </c>
      <c r="H205" s="3" t="s">
        <v>512</v>
      </c>
      <c r="I205" s="3" t="s">
        <v>40</v>
      </c>
      <c r="J205" t="str">
        <f>"08/07/2016 15:07"</f>
        <v>08/07/2016 15:07</v>
      </c>
      <c r="K205" s="3" t="str">
        <f>"L"</f>
        <v>L</v>
      </c>
      <c r="L205" s="3" t="str">
        <f>"9886621371"</f>
        <v>9886621371</v>
      </c>
      <c r="M205" s="3" t="str">
        <f>"Male"</f>
        <v>Male</v>
      </c>
      <c r="N205" t="s">
        <v>513</v>
      </c>
      <c r="O205" t="s">
        <v>514</v>
      </c>
      <c r="P205" s="9">
        <v>1</v>
      </c>
      <c r="Q205" s="7">
        <v>3600</v>
      </c>
      <c r="R205" s="7">
        <v>3474</v>
      </c>
      <c r="S205" s="7">
        <v>126</v>
      </c>
      <c r="T205" s="11">
        <v>3.5000000000000003E-2</v>
      </c>
      <c r="U205" s="11">
        <v>0</v>
      </c>
      <c r="V205" s="11">
        <v>0</v>
      </c>
      <c r="W205" s="11">
        <v>0</v>
      </c>
      <c r="X205" s="3" t="s">
        <v>39</v>
      </c>
      <c r="Y205" t="s">
        <v>560</v>
      </c>
      <c r="Z205" s="3" t="s">
        <v>39</v>
      </c>
    </row>
    <row r="206" spans="1:26" x14ac:dyDescent="0.25">
      <c r="A206" t="s">
        <v>565</v>
      </c>
      <c r="B206" t="s">
        <v>566</v>
      </c>
      <c r="C206" s="3" t="s">
        <v>359</v>
      </c>
      <c r="D206" t="str">
        <f>"402221467874832920"</f>
        <v>402221467874832920</v>
      </c>
      <c r="E206" s="3" t="s">
        <v>38</v>
      </c>
      <c r="F206" s="17">
        <v>6000</v>
      </c>
      <c r="G206" s="3" t="s">
        <v>39</v>
      </c>
      <c r="H206" s="3" t="s">
        <v>39</v>
      </c>
      <c r="I206" s="3" t="s">
        <v>40</v>
      </c>
      <c r="J206" t="str">
        <f>"07/07/2016 12:32"</f>
        <v>07/07/2016 12:32</v>
      </c>
      <c r="K206" s="3" t="str">
        <f>"L"</f>
        <v>L</v>
      </c>
      <c r="L206" s="3" t="str">
        <f>"7899306490"</f>
        <v>7899306490</v>
      </c>
      <c r="M206" s="3" t="str">
        <f>"Male"</f>
        <v>Male</v>
      </c>
      <c r="N206" t="s">
        <v>565</v>
      </c>
      <c r="O206" t="s">
        <v>566</v>
      </c>
      <c r="P206" s="9">
        <v>1</v>
      </c>
      <c r="Q206" s="7">
        <v>6000</v>
      </c>
      <c r="R206" s="7">
        <v>5790</v>
      </c>
      <c r="S206" s="7">
        <v>210</v>
      </c>
      <c r="T206" s="11">
        <v>3.5000000000000003E-2</v>
      </c>
      <c r="U206" s="11">
        <v>0</v>
      </c>
      <c r="V206" s="11">
        <v>0</v>
      </c>
      <c r="W206" s="11">
        <v>0</v>
      </c>
      <c r="X206" s="3" t="s">
        <v>39</v>
      </c>
      <c r="Y206" t="s">
        <v>560</v>
      </c>
      <c r="Z206" s="3" t="s">
        <v>39</v>
      </c>
    </row>
    <row r="207" spans="1:26" x14ac:dyDescent="0.25">
      <c r="A207" t="s">
        <v>567</v>
      </c>
      <c r="B207" t="s">
        <v>568</v>
      </c>
      <c r="C207" s="3" t="s">
        <v>359</v>
      </c>
      <c r="D207" t="str">
        <f>"543671468239119603"</f>
        <v>543671468239119603</v>
      </c>
      <c r="E207" s="3" t="s">
        <v>38</v>
      </c>
      <c r="F207" s="26">
        <v>6000</v>
      </c>
      <c r="G207" s="3" t="s">
        <v>39</v>
      </c>
      <c r="H207" s="3" t="s">
        <v>39</v>
      </c>
      <c r="I207" s="3" t="s">
        <v>40</v>
      </c>
      <c r="J207" t="str">
        <f>"11/07/2016 17:44"</f>
        <v>11/07/2016 17:44</v>
      </c>
      <c r="K207" s="36" t="str">
        <f>"XL"</f>
        <v>XL</v>
      </c>
      <c r="L207" s="36" t="str">
        <f>"7406637176"</f>
        <v>7406637176</v>
      </c>
      <c r="M207" s="36" t="str">
        <f t="shared" ref="M207:M227" si="17">"Male"</f>
        <v>Male</v>
      </c>
      <c r="N207" t="s">
        <v>567</v>
      </c>
      <c r="O207" t="s">
        <v>568</v>
      </c>
      <c r="P207" s="9">
        <v>1</v>
      </c>
      <c r="Q207" s="7">
        <v>6000</v>
      </c>
      <c r="R207" s="7">
        <v>5790</v>
      </c>
      <c r="S207" s="7">
        <v>210</v>
      </c>
      <c r="T207" s="11">
        <v>3.5000000000000003E-2</v>
      </c>
      <c r="U207" s="11">
        <v>0</v>
      </c>
      <c r="V207" s="11">
        <v>0</v>
      </c>
      <c r="W207" s="11">
        <v>0</v>
      </c>
      <c r="X207" s="3" t="s">
        <v>39</v>
      </c>
      <c r="Y207" t="s">
        <v>569</v>
      </c>
      <c r="Z207" s="3" t="s">
        <v>39</v>
      </c>
    </row>
    <row r="208" spans="1:26" x14ac:dyDescent="0.25">
      <c r="A208" t="s">
        <v>570</v>
      </c>
      <c r="B208" t="s">
        <v>571</v>
      </c>
      <c r="C208" s="3" t="s">
        <v>359</v>
      </c>
      <c r="D208" t="str">
        <f>"070621468234356280"</f>
        <v>070621468234356280</v>
      </c>
      <c r="E208" s="3" t="s">
        <v>38</v>
      </c>
      <c r="F208" s="26">
        <v>3000</v>
      </c>
      <c r="G208" s="3" t="s">
        <v>260</v>
      </c>
      <c r="H208" s="3" t="s">
        <v>572</v>
      </c>
      <c r="I208" s="3" t="s">
        <v>40</v>
      </c>
      <c r="J208" t="str">
        <f>"11/07/2016 16:24"</f>
        <v>11/07/2016 16:24</v>
      </c>
      <c r="K208" s="36" t="str">
        <f>"L"</f>
        <v>L</v>
      </c>
      <c r="L208" s="36" t="str">
        <f>"9711733970"</f>
        <v>9711733970</v>
      </c>
      <c r="M208" s="36" t="str">
        <f t="shared" si="17"/>
        <v>Male</v>
      </c>
      <c r="N208" t="s">
        <v>570</v>
      </c>
      <c r="O208" t="s">
        <v>571</v>
      </c>
      <c r="P208" s="9">
        <v>1</v>
      </c>
      <c r="Q208" s="7">
        <v>3000</v>
      </c>
      <c r="R208" s="7">
        <v>2895</v>
      </c>
      <c r="S208" s="7">
        <v>105</v>
      </c>
      <c r="T208" s="11">
        <v>3.5000000000000003E-2</v>
      </c>
      <c r="U208" s="11">
        <v>0</v>
      </c>
      <c r="V208" s="11">
        <v>0</v>
      </c>
      <c r="W208" s="11">
        <v>0</v>
      </c>
      <c r="X208" s="3" t="s">
        <v>39</v>
      </c>
      <c r="Y208" t="s">
        <v>569</v>
      </c>
      <c r="Z208" s="3" t="s">
        <v>39</v>
      </c>
    </row>
    <row r="209" spans="1:26" x14ac:dyDescent="0.25">
      <c r="A209" t="s">
        <v>573</v>
      </c>
      <c r="B209" t="s">
        <v>574</v>
      </c>
      <c r="C209" s="3" t="s">
        <v>359</v>
      </c>
      <c r="D209" t="str">
        <f>"221031468229319141"</f>
        <v>221031468229319141</v>
      </c>
      <c r="E209" s="3" t="s">
        <v>38</v>
      </c>
      <c r="F209" s="26">
        <v>6000</v>
      </c>
      <c r="G209" s="3" t="s">
        <v>39</v>
      </c>
      <c r="H209" s="3" t="s">
        <v>39</v>
      </c>
      <c r="I209" s="3" t="s">
        <v>40</v>
      </c>
      <c r="J209" t="str">
        <f>"11/07/2016 15:00"</f>
        <v>11/07/2016 15:00</v>
      </c>
      <c r="K209" s="36" t="str">
        <f>"40"</f>
        <v>40</v>
      </c>
      <c r="L209" s="36" t="str">
        <f>"9738401400"</f>
        <v>9738401400</v>
      </c>
      <c r="M209" s="36" t="str">
        <f t="shared" si="17"/>
        <v>Male</v>
      </c>
      <c r="N209" t="s">
        <v>573</v>
      </c>
      <c r="O209" t="s">
        <v>574</v>
      </c>
      <c r="P209" s="9">
        <v>1</v>
      </c>
      <c r="Q209" s="7">
        <v>6000</v>
      </c>
      <c r="R209" s="7">
        <v>5790</v>
      </c>
      <c r="S209" s="7">
        <v>210</v>
      </c>
      <c r="T209" s="11">
        <v>3.5000000000000003E-2</v>
      </c>
      <c r="U209" s="11">
        <v>0</v>
      </c>
      <c r="V209" s="11">
        <v>0</v>
      </c>
      <c r="W209" s="11">
        <v>0</v>
      </c>
      <c r="X209" s="3" t="s">
        <v>39</v>
      </c>
      <c r="Y209" t="s">
        <v>569</v>
      </c>
      <c r="Z209" s="3" t="s">
        <v>39</v>
      </c>
    </row>
    <row r="210" spans="1:26" x14ac:dyDescent="0.25">
      <c r="A210" t="s">
        <v>575</v>
      </c>
      <c r="B210" t="s">
        <v>576</v>
      </c>
      <c r="C210" s="3" t="s">
        <v>359</v>
      </c>
      <c r="D210" t="str">
        <f>"453551468229047764"</f>
        <v>453551468229047764</v>
      </c>
      <c r="E210" s="3" t="s">
        <v>38</v>
      </c>
      <c r="F210" s="26">
        <v>6000</v>
      </c>
      <c r="G210" s="3" t="s">
        <v>39</v>
      </c>
      <c r="H210" s="3" t="s">
        <v>39</v>
      </c>
      <c r="I210" s="3" t="s">
        <v>40</v>
      </c>
      <c r="J210" t="str">
        <f>"11/07/2016 14:56"</f>
        <v>11/07/2016 14:56</v>
      </c>
      <c r="K210" s="36" t="str">
        <f>"XXL"</f>
        <v>XXL</v>
      </c>
      <c r="L210" s="36" t="str">
        <f>"8975667234"</f>
        <v>8975667234</v>
      </c>
      <c r="M210" s="36" t="str">
        <f t="shared" si="17"/>
        <v>Male</v>
      </c>
      <c r="N210" t="s">
        <v>575</v>
      </c>
      <c r="O210" t="s">
        <v>576</v>
      </c>
      <c r="P210" s="9">
        <v>1</v>
      </c>
      <c r="Q210" s="7">
        <v>6000</v>
      </c>
      <c r="R210" s="7">
        <v>5790</v>
      </c>
      <c r="S210" s="7">
        <v>210</v>
      </c>
      <c r="T210" s="11">
        <v>3.5000000000000003E-2</v>
      </c>
      <c r="U210" s="11">
        <v>0</v>
      </c>
      <c r="V210" s="11">
        <v>0</v>
      </c>
      <c r="W210" s="11">
        <v>0</v>
      </c>
      <c r="X210" s="3" t="s">
        <v>39</v>
      </c>
      <c r="Y210" t="s">
        <v>569</v>
      </c>
      <c r="Z210" s="3" t="s">
        <v>39</v>
      </c>
    </row>
    <row r="211" spans="1:26" x14ac:dyDescent="0.25">
      <c r="A211" t="s">
        <v>577</v>
      </c>
      <c r="B211" t="s">
        <v>578</v>
      </c>
      <c r="C211" s="3" t="s">
        <v>359</v>
      </c>
      <c r="D211" t="str">
        <f>"340221468222584113"</f>
        <v>340221468222584113</v>
      </c>
      <c r="E211" s="3" t="s">
        <v>38</v>
      </c>
      <c r="F211" s="26">
        <v>3000</v>
      </c>
      <c r="G211" s="3" t="s">
        <v>260</v>
      </c>
      <c r="H211" s="3" t="s">
        <v>572</v>
      </c>
      <c r="I211" s="3" t="s">
        <v>40</v>
      </c>
      <c r="J211" t="str">
        <f>"11/07/2016 13:09"</f>
        <v>11/07/2016 13:09</v>
      </c>
      <c r="K211" s="36" t="str">
        <f>"L"</f>
        <v>L</v>
      </c>
      <c r="L211" s="36" t="str">
        <f>"9999867731"</f>
        <v>9999867731</v>
      </c>
      <c r="M211" s="36" t="str">
        <f t="shared" si="17"/>
        <v>Male</v>
      </c>
      <c r="N211" t="s">
        <v>577</v>
      </c>
      <c r="O211" t="s">
        <v>578</v>
      </c>
      <c r="P211" s="9">
        <v>1</v>
      </c>
      <c r="Q211" s="7">
        <v>3000</v>
      </c>
      <c r="R211" s="7">
        <v>2895</v>
      </c>
      <c r="S211" s="7">
        <v>105</v>
      </c>
      <c r="T211" s="11">
        <v>3.5000000000000003E-2</v>
      </c>
      <c r="U211" s="11">
        <v>0</v>
      </c>
      <c r="V211" s="11">
        <v>0</v>
      </c>
      <c r="W211" s="11">
        <v>0</v>
      </c>
      <c r="X211" s="3" t="s">
        <v>39</v>
      </c>
      <c r="Y211" t="s">
        <v>569</v>
      </c>
      <c r="Z211" s="3" t="s">
        <v>39</v>
      </c>
    </row>
    <row r="212" spans="1:26" x14ac:dyDescent="0.25">
      <c r="A212" t="s">
        <v>579</v>
      </c>
      <c r="B212" t="s">
        <v>580</v>
      </c>
      <c r="C212" s="3" t="s">
        <v>359</v>
      </c>
      <c r="D212" t="str">
        <f>"475271468221228521"</f>
        <v>475271468221228521</v>
      </c>
      <c r="E212" s="3" t="s">
        <v>38</v>
      </c>
      <c r="F212" s="26">
        <v>6000</v>
      </c>
      <c r="G212" s="3" t="s">
        <v>39</v>
      </c>
      <c r="H212" s="3" t="s">
        <v>39</v>
      </c>
      <c r="I212" s="3" t="s">
        <v>40</v>
      </c>
      <c r="J212" t="str">
        <f>"11/07/2016 12:48"</f>
        <v>11/07/2016 12:48</v>
      </c>
      <c r="K212" s="36" t="str">
        <f>"M"</f>
        <v>M</v>
      </c>
      <c r="L212" s="36" t="str">
        <f>"9980277877"</f>
        <v>9980277877</v>
      </c>
      <c r="M212" s="36" t="str">
        <f t="shared" si="17"/>
        <v>Male</v>
      </c>
      <c r="N212" t="s">
        <v>581</v>
      </c>
      <c r="O212" t="s">
        <v>582</v>
      </c>
      <c r="P212" s="9">
        <v>1</v>
      </c>
      <c r="Q212" s="7">
        <v>6000</v>
      </c>
      <c r="R212" s="7">
        <v>5790</v>
      </c>
      <c r="S212" s="7">
        <v>210</v>
      </c>
      <c r="T212" s="11">
        <v>3.5000000000000003E-2</v>
      </c>
      <c r="U212" s="11">
        <v>0</v>
      </c>
      <c r="V212" s="11">
        <v>0</v>
      </c>
      <c r="W212" s="11">
        <v>0</v>
      </c>
      <c r="X212" s="3" t="s">
        <v>39</v>
      </c>
      <c r="Y212" t="s">
        <v>569</v>
      </c>
      <c r="Z212" s="3" t="s">
        <v>39</v>
      </c>
    </row>
    <row r="213" spans="1:26" x14ac:dyDescent="0.25">
      <c r="A213" t="s">
        <v>583</v>
      </c>
      <c r="B213" t="s">
        <v>584</v>
      </c>
      <c r="C213" s="3" t="s">
        <v>359</v>
      </c>
      <c r="D213" t="str">
        <f>"535531468057346002"</f>
        <v>535531468057346002</v>
      </c>
      <c r="E213" s="3" t="s">
        <v>38</v>
      </c>
      <c r="F213" s="26">
        <v>3000</v>
      </c>
      <c r="G213" s="3" t="s">
        <v>260</v>
      </c>
      <c r="H213" s="3" t="s">
        <v>572</v>
      </c>
      <c r="I213" s="3" t="s">
        <v>40</v>
      </c>
      <c r="J213" t="str">
        <f>"09/07/2016 15:14"</f>
        <v>09/07/2016 15:14</v>
      </c>
      <c r="K213" s="36" t="str">
        <f>"L"</f>
        <v>L</v>
      </c>
      <c r="L213" s="36" t="str">
        <f>"9663021565"</f>
        <v>9663021565</v>
      </c>
      <c r="M213" s="36" t="str">
        <f t="shared" si="17"/>
        <v>Male</v>
      </c>
      <c r="N213" t="s">
        <v>583</v>
      </c>
      <c r="O213" t="s">
        <v>584</v>
      </c>
      <c r="P213" s="9">
        <v>1</v>
      </c>
      <c r="Q213" s="7">
        <v>3000</v>
      </c>
      <c r="R213" s="7">
        <v>2895</v>
      </c>
      <c r="S213" s="7">
        <v>105</v>
      </c>
      <c r="T213" s="11">
        <v>3.5000000000000003E-2</v>
      </c>
      <c r="U213" s="11">
        <v>0</v>
      </c>
      <c r="V213" s="11">
        <v>0</v>
      </c>
      <c r="W213" s="11">
        <v>0</v>
      </c>
      <c r="X213" s="3" t="s">
        <v>39</v>
      </c>
      <c r="Y213" t="s">
        <v>569</v>
      </c>
      <c r="Z213" s="3" t="s">
        <v>39</v>
      </c>
    </row>
    <row r="214" spans="1:26" x14ac:dyDescent="0.25">
      <c r="A214" t="s">
        <v>585</v>
      </c>
      <c r="B214" t="s">
        <v>586</v>
      </c>
      <c r="C214" s="3" t="s">
        <v>359</v>
      </c>
      <c r="D214" t="str">
        <f>"602001467991448173"</f>
        <v>602001467991448173</v>
      </c>
      <c r="E214" s="3" t="s">
        <v>38</v>
      </c>
      <c r="F214" s="26">
        <v>3600</v>
      </c>
      <c r="G214" s="3" t="s">
        <v>260</v>
      </c>
      <c r="H214" s="3" t="s">
        <v>545</v>
      </c>
      <c r="I214" s="3" t="s">
        <v>40</v>
      </c>
      <c r="J214" t="str">
        <f>"08/07/2016 20:57"</f>
        <v>08/07/2016 20:57</v>
      </c>
      <c r="K214" s="36" t="str">
        <f>"XL"</f>
        <v>XL</v>
      </c>
      <c r="L214" s="36" t="str">
        <f>"7387800011"</f>
        <v>7387800011</v>
      </c>
      <c r="M214" s="36" t="str">
        <f t="shared" si="17"/>
        <v>Male</v>
      </c>
      <c r="N214" t="s">
        <v>585</v>
      </c>
      <c r="O214" t="s">
        <v>586</v>
      </c>
      <c r="P214" s="9">
        <v>1</v>
      </c>
      <c r="Q214" s="7">
        <v>3600</v>
      </c>
      <c r="R214" s="7">
        <v>3474</v>
      </c>
      <c r="S214" s="7">
        <v>126</v>
      </c>
      <c r="T214" s="11">
        <v>3.5000000000000003E-2</v>
      </c>
      <c r="U214" s="11">
        <v>0</v>
      </c>
      <c r="V214" s="11">
        <v>0</v>
      </c>
      <c r="W214" s="11">
        <v>0</v>
      </c>
      <c r="X214" s="3" t="s">
        <v>39</v>
      </c>
      <c r="Y214" t="s">
        <v>569</v>
      </c>
      <c r="Z214" s="3" t="s">
        <v>39</v>
      </c>
    </row>
    <row r="215" spans="1:26" x14ac:dyDescent="0.25">
      <c r="A215" t="s">
        <v>587</v>
      </c>
      <c r="B215" t="s">
        <v>588</v>
      </c>
      <c r="C215" s="3" t="s">
        <v>359</v>
      </c>
      <c r="D215" t="str">
        <f>"357341468452917662"</f>
        <v>357341468452917662</v>
      </c>
      <c r="E215" s="3" t="s">
        <v>38</v>
      </c>
      <c r="F215" s="9">
        <v>6000</v>
      </c>
      <c r="G215" s="36" t="s">
        <v>39</v>
      </c>
      <c r="H215" s="36" t="s">
        <v>39</v>
      </c>
      <c r="I215" s="36" t="s">
        <v>40</v>
      </c>
      <c r="J215" s="3" t="str">
        <f>"14/07/2016 05:32"</f>
        <v>14/07/2016 05:32</v>
      </c>
      <c r="K215" s="3" t="str">
        <f>"XL"</f>
        <v>XL</v>
      </c>
      <c r="L215" s="3" t="str">
        <f>"9620310160"</f>
        <v>9620310160</v>
      </c>
      <c r="M215" s="3" t="str">
        <f t="shared" si="17"/>
        <v>Male</v>
      </c>
      <c r="N215" t="s">
        <v>587</v>
      </c>
      <c r="O215" t="s">
        <v>588</v>
      </c>
      <c r="P215" s="9">
        <v>1</v>
      </c>
      <c r="Q215" s="55">
        <v>6000</v>
      </c>
      <c r="R215" s="7">
        <v>5790</v>
      </c>
      <c r="S215" s="7">
        <v>210</v>
      </c>
      <c r="T215" s="11">
        <v>3.5000000000000003E-2</v>
      </c>
      <c r="U215" s="11">
        <v>0</v>
      </c>
      <c r="V215" s="11">
        <v>0</v>
      </c>
      <c r="W215" s="11">
        <v>0</v>
      </c>
      <c r="X215" s="3" t="s">
        <v>39</v>
      </c>
      <c r="Y215" t="s">
        <v>589</v>
      </c>
      <c r="Z215" s="3" t="s">
        <v>39</v>
      </c>
    </row>
    <row r="216" spans="1:26" x14ac:dyDescent="0.25">
      <c r="A216" t="s">
        <v>590</v>
      </c>
      <c r="B216" t="s">
        <v>591</v>
      </c>
      <c r="C216" s="3" t="s">
        <v>359</v>
      </c>
      <c r="D216" t="str">
        <f>"547101468419030580"</f>
        <v>547101468419030580</v>
      </c>
      <c r="E216" s="3" t="s">
        <v>38</v>
      </c>
      <c r="F216" s="9">
        <v>3000</v>
      </c>
      <c r="G216" s="36" t="s">
        <v>260</v>
      </c>
      <c r="H216" s="36" t="s">
        <v>572</v>
      </c>
      <c r="I216" s="36" t="s">
        <v>40</v>
      </c>
      <c r="J216" s="3" t="str">
        <f>"13/07/2016 19:42"</f>
        <v>13/07/2016 19:42</v>
      </c>
      <c r="K216" s="3" t="str">
        <f>"XL"</f>
        <v>XL</v>
      </c>
      <c r="L216" s="3" t="str">
        <f>"09920652636"</f>
        <v>09920652636</v>
      </c>
      <c r="M216" s="3" t="str">
        <f t="shared" si="17"/>
        <v>Male</v>
      </c>
      <c r="N216" t="s">
        <v>590</v>
      </c>
      <c r="O216" t="s">
        <v>591</v>
      </c>
      <c r="P216" s="9">
        <v>1</v>
      </c>
      <c r="Q216" s="55">
        <v>3000</v>
      </c>
      <c r="R216" s="7">
        <v>2895</v>
      </c>
      <c r="S216" s="7">
        <v>105</v>
      </c>
      <c r="T216" s="11">
        <v>3.5000000000000003E-2</v>
      </c>
      <c r="U216" s="11">
        <v>0</v>
      </c>
      <c r="V216" s="11">
        <v>0</v>
      </c>
      <c r="W216" s="11">
        <v>0</v>
      </c>
      <c r="X216" s="3" t="s">
        <v>39</v>
      </c>
      <c r="Y216" t="s">
        <v>589</v>
      </c>
      <c r="Z216" s="3" t="s">
        <v>39</v>
      </c>
    </row>
    <row r="217" spans="1:26" x14ac:dyDescent="0.25">
      <c r="A217" t="s">
        <v>592</v>
      </c>
      <c r="B217" t="s">
        <v>593</v>
      </c>
      <c r="C217" s="3" t="s">
        <v>359</v>
      </c>
      <c r="D217" t="str">
        <f>"750351468414170673"</f>
        <v>750351468414170673</v>
      </c>
      <c r="E217" s="3" t="s">
        <v>38</v>
      </c>
      <c r="F217" s="9">
        <v>6000</v>
      </c>
      <c r="G217" s="36" t="s">
        <v>39</v>
      </c>
      <c r="H217" s="36" t="s">
        <v>39</v>
      </c>
      <c r="I217" s="36" t="s">
        <v>40</v>
      </c>
      <c r="J217" s="3" t="str">
        <f>"13/07/2016 18:22"</f>
        <v>13/07/2016 18:22</v>
      </c>
      <c r="K217" s="3" t="str">
        <f>"L"</f>
        <v>L</v>
      </c>
      <c r="L217" s="3" t="str">
        <f>"9884251048"</f>
        <v>9884251048</v>
      </c>
      <c r="M217" s="3" t="str">
        <f t="shared" si="17"/>
        <v>Male</v>
      </c>
      <c r="N217" t="s">
        <v>592</v>
      </c>
      <c r="O217" t="s">
        <v>593</v>
      </c>
      <c r="P217" s="9">
        <v>1</v>
      </c>
      <c r="Q217" s="55">
        <v>6000</v>
      </c>
      <c r="R217" s="7">
        <v>5790</v>
      </c>
      <c r="S217" s="7">
        <v>210</v>
      </c>
      <c r="T217" s="11">
        <v>3.5000000000000003E-2</v>
      </c>
      <c r="U217" s="11">
        <v>0</v>
      </c>
      <c r="V217" s="11">
        <v>0</v>
      </c>
      <c r="W217" s="11">
        <v>0</v>
      </c>
      <c r="X217" s="3" t="s">
        <v>39</v>
      </c>
      <c r="Y217" t="s">
        <v>589</v>
      </c>
      <c r="Z217" s="3" t="s">
        <v>39</v>
      </c>
    </row>
    <row r="218" spans="1:26" x14ac:dyDescent="0.25">
      <c r="A218" t="s">
        <v>594</v>
      </c>
      <c r="B218" t="s">
        <v>595</v>
      </c>
      <c r="C218" s="3" t="s">
        <v>359</v>
      </c>
      <c r="D218" t="str">
        <f>"667021468413790631"</f>
        <v>667021468413790631</v>
      </c>
      <c r="E218" s="3" t="s">
        <v>38</v>
      </c>
      <c r="F218" s="9">
        <v>6000</v>
      </c>
      <c r="G218" s="36" t="s">
        <v>39</v>
      </c>
      <c r="H218" s="36" t="s">
        <v>39</v>
      </c>
      <c r="I218" s="36" t="s">
        <v>40</v>
      </c>
      <c r="J218" s="3" t="str">
        <f>"13/07/2016 18:14"</f>
        <v>13/07/2016 18:14</v>
      </c>
      <c r="K218" s="3" t="str">
        <f>"L"</f>
        <v>L</v>
      </c>
      <c r="L218" s="3" t="str">
        <f>"7755992850"</f>
        <v>7755992850</v>
      </c>
      <c r="M218" s="3" t="str">
        <f t="shared" si="17"/>
        <v>Male</v>
      </c>
      <c r="N218" t="s">
        <v>594</v>
      </c>
      <c r="O218" t="s">
        <v>595</v>
      </c>
      <c r="P218" s="9">
        <v>1</v>
      </c>
      <c r="Q218" s="55">
        <v>6000</v>
      </c>
      <c r="R218" s="7">
        <v>5790</v>
      </c>
      <c r="S218" s="7">
        <v>210</v>
      </c>
      <c r="T218" s="11">
        <v>3.5000000000000003E-2</v>
      </c>
      <c r="U218" s="11">
        <v>0</v>
      </c>
      <c r="V218" s="11">
        <v>0</v>
      </c>
      <c r="W218" s="11">
        <v>0</v>
      </c>
      <c r="X218" s="3" t="s">
        <v>39</v>
      </c>
      <c r="Y218" t="s">
        <v>589</v>
      </c>
      <c r="Z218" s="3" t="s">
        <v>39</v>
      </c>
    </row>
    <row r="219" spans="1:26" x14ac:dyDescent="0.25">
      <c r="A219" t="s">
        <v>596</v>
      </c>
      <c r="B219" t="s">
        <v>597</v>
      </c>
      <c r="C219" s="3" t="s">
        <v>359</v>
      </c>
      <c r="D219" t="str">
        <f>"067751468405683075"</f>
        <v>067751468405683075</v>
      </c>
      <c r="E219" s="3" t="s">
        <v>38</v>
      </c>
      <c r="F219" s="9">
        <v>6000</v>
      </c>
      <c r="G219" s="36" t="s">
        <v>39</v>
      </c>
      <c r="H219" s="36" t="s">
        <v>39</v>
      </c>
      <c r="I219" s="36" t="s">
        <v>40</v>
      </c>
      <c r="J219" s="3" t="str">
        <f>"13/07/2016 15:59"</f>
        <v>13/07/2016 15:59</v>
      </c>
      <c r="K219" s="3" t="str">
        <f>"Medium"</f>
        <v>Medium</v>
      </c>
      <c r="L219" s="3" t="str">
        <f>"7829240361"</f>
        <v>7829240361</v>
      </c>
      <c r="M219" s="3" t="str">
        <f t="shared" si="17"/>
        <v>Male</v>
      </c>
      <c r="N219" t="s">
        <v>598</v>
      </c>
      <c r="O219" t="s">
        <v>599</v>
      </c>
      <c r="P219" s="9">
        <v>1</v>
      </c>
      <c r="Q219" s="55">
        <v>6000</v>
      </c>
      <c r="R219" s="7">
        <v>5790</v>
      </c>
      <c r="S219" s="7">
        <v>210</v>
      </c>
      <c r="T219" s="11">
        <v>3.5000000000000003E-2</v>
      </c>
      <c r="U219" s="11">
        <v>0</v>
      </c>
      <c r="V219" s="11">
        <v>0</v>
      </c>
      <c r="W219" s="11">
        <v>0</v>
      </c>
      <c r="X219" s="3" t="s">
        <v>39</v>
      </c>
      <c r="Y219" t="s">
        <v>589</v>
      </c>
      <c r="Z219" s="3" t="s">
        <v>39</v>
      </c>
    </row>
    <row r="220" spans="1:26" x14ac:dyDescent="0.25">
      <c r="A220" t="s">
        <v>600</v>
      </c>
      <c r="B220" t="s">
        <v>601</v>
      </c>
      <c r="C220" s="3" t="s">
        <v>359</v>
      </c>
      <c r="D220" t="str">
        <f>"650051468402640132"</f>
        <v>650051468402640132</v>
      </c>
      <c r="E220" s="3" t="s">
        <v>38</v>
      </c>
      <c r="F220" s="9">
        <v>4200</v>
      </c>
      <c r="G220" s="36" t="s">
        <v>260</v>
      </c>
      <c r="H220" s="36" t="s">
        <v>602</v>
      </c>
      <c r="I220" s="36" t="s">
        <v>40</v>
      </c>
      <c r="J220" s="3" t="str">
        <f>"13/07/2016 15:10"</f>
        <v>13/07/2016 15:10</v>
      </c>
      <c r="K220" s="3" t="str">
        <f>"M"</f>
        <v>M</v>
      </c>
      <c r="L220" s="3" t="str">
        <f>"9731312529"</f>
        <v>9731312529</v>
      </c>
      <c r="M220" s="3" t="str">
        <f t="shared" si="17"/>
        <v>Male</v>
      </c>
      <c r="N220" t="s">
        <v>603</v>
      </c>
      <c r="O220" t="s">
        <v>604</v>
      </c>
      <c r="P220" s="9">
        <v>1</v>
      </c>
      <c r="Q220" s="55">
        <v>4200</v>
      </c>
      <c r="R220" s="7">
        <v>4053</v>
      </c>
      <c r="S220" s="7">
        <v>147</v>
      </c>
      <c r="T220" s="11">
        <v>3.5000000000000003E-2</v>
      </c>
      <c r="U220" s="11">
        <v>0</v>
      </c>
      <c r="V220" s="11">
        <v>0</v>
      </c>
      <c r="W220" s="11">
        <v>0</v>
      </c>
      <c r="X220" s="3" t="s">
        <v>39</v>
      </c>
      <c r="Y220" t="s">
        <v>589</v>
      </c>
      <c r="Z220" s="3" t="s">
        <v>39</v>
      </c>
    </row>
    <row r="221" spans="1:26" x14ac:dyDescent="0.25">
      <c r="A221" t="s">
        <v>605</v>
      </c>
      <c r="B221" t="s">
        <v>606</v>
      </c>
      <c r="C221" s="3" t="s">
        <v>359</v>
      </c>
      <c r="D221" t="str">
        <f>"650051468402640132"</f>
        <v>650051468402640132</v>
      </c>
      <c r="E221" s="3" t="s">
        <v>38</v>
      </c>
      <c r="F221" s="9">
        <v>4200</v>
      </c>
      <c r="G221" s="36" t="s">
        <v>260</v>
      </c>
      <c r="H221" s="36" t="s">
        <v>602</v>
      </c>
      <c r="I221" s="36" t="s">
        <v>40</v>
      </c>
      <c r="J221" s="3" t="str">
        <f>"13/07/2016 15:10"</f>
        <v>13/07/2016 15:10</v>
      </c>
      <c r="K221" s="3" t="str">
        <f>"L"</f>
        <v>L</v>
      </c>
      <c r="L221" s="3" t="str">
        <f>"9916587319"</f>
        <v>9916587319</v>
      </c>
      <c r="M221" s="3" t="str">
        <f t="shared" si="17"/>
        <v>Male</v>
      </c>
      <c r="N221" t="s">
        <v>603</v>
      </c>
      <c r="O221" t="s">
        <v>604</v>
      </c>
      <c r="P221" s="9">
        <v>1</v>
      </c>
      <c r="Q221" s="55">
        <v>4200</v>
      </c>
      <c r="R221" s="7">
        <v>4053</v>
      </c>
      <c r="S221" s="7">
        <v>147</v>
      </c>
      <c r="T221" s="11">
        <v>3.5000000000000003E-2</v>
      </c>
      <c r="U221" s="11">
        <v>0</v>
      </c>
      <c r="V221" s="11">
        <v>0</v>
      </c>
      <c r="W221" s="11">
        <v>0</v>
      </c>
      <c r="X221" s="3" t="s">
        <v>39</v>
      </c>
      <c r="Y221" t="s">
        <v>589</v>
      </c>
      <c r="Z221" s="3" t="s">
        <v>39</v>
      </c>
    </row>
    <row r="222" spans="1:26" x14ac:dyDescent="0.25">
      <c r="A222" t="s">
        <v>607</v>
      </c>
      <c r="B222" t="s">
        <v>608</v>
      </c>
      <c r="C222" s="3" t="s">
        <v>359</v>
      </c>
      <c r="D222" t="str">
        <f>"155251468402652708"</f>
        <v>155251468402652708</v>
      </c>
      <c r="E222" s="3" t="s">
        <v>38</v>
      </c>
      <c r="F222" s="9">
        <v>6000</v>
      </c>
      <c r="G222" s="36" t="s">
        <v>39</v>
      </c>
      <c r="H222" s="36" t="s">
        <v>39</v>
      </c>
      <c r="I222" s="36" t="s">
        <v>40</v>
      </c>
      <c r="J222" s="3" t="str">
        <f>"13/07/2016 15:08"</f>
        <v>13/07/2016 15:08</v>
      </c>
      <c r="K222" s="3" t="str">
        <f>"M"</f>
        <v>M</v>
      </c>
      <c r="L222" s="3" t="str">
        <f>"8095010550"</f>
        <v>8095010550</v>
      </c>
      <c r="M222" s="3" t="str">
        <f t="shared" si="17"/>
        <v>Male</v>
      </c>
      <c r="N222" t="s">
        <v>607</v>
      </c>
      <c r="O222" t="s">
        <v>608</v>
      </c>
      <c r="P222" s="9">
        <v>1</v>
      </c>
      <c r="Q222" s="55">
        <v>6000</v>
      </c>
      <c r="R222" s="7">
        <v>5790</v>
      </c>
      <c r="S222" s="7">
        <v>210</v>
      </c>
      <c r="T222" s="11">
        <v>3.5000000000000003E-2</v>
      </c>
      <c r="U222" s="11">
        <v>0</v>
      </c>
      <c r="V222" s="11">
        <v>0</v>
      </c>
      <c r="W222" s="11">
        <v>0</v>
      </c>
      <c r="X222" s="3" t="s">
        <v>39</v>
      </c>
      <c r="Y222" t="s">
        <v>589</v>
      </c>
      <c r="Z222" s="3" t="s">
        <v>39</v>
      </c>
    </row>
    <row r="223" spans="1:26" x14ac:dyDescent="0.25">
      <c r="A223" t="s">
        <v>609</v>
      </c>
      <c r="B223" t="s">
        <v>610</v>
      </c>
      <c r="C223" s="3" t="s">
        <v>359</v>
      </c>
      <c r="D223" t="str">
        <f>"155431468397705589"</f>
        <v>155431468397705589</v>
      </c>
      <c r="E223" s="3" t="s">
        <v>38</v>
      </c>
      <c r="F223" s="9">
        <v>6000</v>
      </c>
      <c r="G223" s="36" t="s">
        <v>39</v>
      </c>
      <c r="H223" s="36" t="s">
        <v>39</v>
      </c>
      <c r="I223" s="36" t="s">
        <v>40</v>
      </c>
      <c r="J223" s="3" t="str">
        <f>"13/07/2016 13:48"</f>
        <v>13/07/2016 13:48</v>
      </c>
      <c r="K223" s="3" t="str">
        <f>"40"</f>
        <v>40</v>
      </c>
      <c r="L223" s="3" t="str">
        <f>"9994586709"</f>
        <v>9994586709</v>
      </c>
      <c r="M223" s="3" t="str">
        <f t="shared" si="17"/>
        <v>Male</v>
      </c>
      <c r="N223" t="s">
        <v>609</v>
      </c>
      <c r="O223" t="s">
        <v>610</v>
      </c>
      <c r="P223" s="9">
        <v>1</v>
      </c>
      <c r="Q223" s="55">
        <v>6000</v>
      </c>
      <c r="R223" s="7">
        <v>5790</v>
      </c>
      <c r="S223" s="7">
        <v>210</v>
      </c>
      <c r="T223" s="11">
        <v>3.5000000000000003E-2</v>
      </c>
      <c r="U223" s="11">
        <v>0</v>
      </c>
      <c r="V223" s="11">
        <v>0</v>
      </c>
      <c r="W223" s="11">
        <v>0</v>
      </c>
      <c r="X223" s="3" t="s">
        <v>39</v>
      </c>
      <c r="Y223" t="s">
        <v>589</v>
      </c>
      <c r="Z223" s="3" t="s">
        <v>39</v>
      </c>
    </row>
    <row r="224" spans="1:26" x14ac:dyDescent="0.25">
      <c r="A224" t="s">
        <v>611</v>
      </c>
      <c r="B224" t="s">
        <v>612</v>
      </c>
      <c r="C224" s="3" t="s">
        <v>359</v>
      </c>
      <c r="D224" t="str">
        <f>"033201468393193371"</f>
        <v>033201468393193371</v>
      </c>
      <c r="E224" s="3" t="s">
        <v>38</v>
      </c>
      <c r="F224" s="9">
        <v>6000</v>
      </c>
      <c r="G224" s="36" t="s">
        <v>39</v>
      </c>
      <c r="H224" s="36" t="s">
        <v>39</v>
      </c>
      <c r="I224" s="36" t="s">
        <v>40</v>
      </c>
      <c r="J224" s="3" t="str">
        <f>"13/07/2016 12:31"</f>
        <v>13/07/2016 12:31</v>
      </c>
      <c r="K224" s="3" t="str">
        <f>"Medium"</f>
        <v>Medium</v>
      </c>
      <c r="L224" s="3" t="str">
        <f>"8146080692"</f>
        <v>8146080692</v>
      </c>
      <c r="M224" s="3" t="str">
        <f t="shared" si="17"/>
        <v>Male</v>
      </c>
      <c r="N224" t="s">
        <v>611</v>
      </c>
      <c r="O224" t="s">
        <v>612</v>
      </c>
      <c r="P224" s="9">
        <v>1</v>
      </c>
      <c r="Q224" s="55">
        <v>6000</v>
      </c>
      <c r="R224" s="7">
        <v>5790</v>
      </c>
      <c r="S224" s="7">
        <v>210</v>
      </c>
      <c r="T224" s="11">
        <v>3.5000000000000003E-2</v>
      </c>
      <c r="U224" s="11">
        <v>0</v>
      </c>
      <c r="V224" s="11">
        <v>0</v>
      </c>
      <c r="W224" s="11">
        <v>0</v>
      </c>
      <c r="X224" s="3" t="s">
        <v>39</v>
      </c>
      <c r="Y224" t="s">
        <v>589</v>
      </c>
      <c r="Z224" s="3" t="s">
        <v>39</v>
      </c>
    </row>
    <row r="225" spans="1:26" x14ac:dyDescent="0.25">
      <c r="A225" t="s">
        <v>613</v>
      </c>
      <c r="B225" t="s">
        <v>614</v>
      </c>
      <c r="C225" s="3" t="s">
        <v>359</v>
      </c>
      <c r="D225" t="str">
        <f>"372271468392895179"</f>
        <v>372271468392895179</v>
      </c>
      <c r="E225" s="3" t="s">
        <v>38</v>
      </c>
      <c r="F225" s="9">
        <v>6000</v>
      </c>
      <c r="G225" s="36" t="s">
        <v>39</v>
      </c>
      <c r="H225" s="36" t="s">
        <v>39</v>
      </c>
      <c r="I225" s="36" t="s">
        <v>40</v>
      </c>
      <c r="J225" s="3" t="str">
        <f>"13/07/2016 12:27"</f>
        <v>13/07/2016 12:27</v>
      </c>
      <c r="K225" s="3" t="str">
        <f>"Xl"</f>
        <v>Xl</v>
      </c>
      <c r="L225" s="3" t="str">
        <f>"9650732431"</f>
        <v>9650732431</v>
      </c>
      <c r="M225" s="3" t="str">
        <f t="shared" si="17"/>
        <v>Male</v>
      </c>
      <c r="N225" t="s">
        <v>613</v>
      </c>
      <c r="O225" t="s">
        <v>614</v>
      </c>
      <c r="P225" s="9">
        <v>1</v>
      </c>
      <c r="Q225" s="55">
        <v>6000</v>
      </c>
      <c r="R225" s="7">
        <v>5790</v>
      </c>
      <c r="S225" s="7">
        <v>210</v>
      </c>
      <c r="T225" s="11">
        <v>3.5000000000000003E-2</v>
      </c>
      <c r="U225" s="11">
        <v>0</v>
      </c>
      <c r="V225" s="11">
        <v>0</v>
      </c>
      <c r="W225" s="11">
        <v>0</v>
      </c>
      <c r="X225" s="3" t="s">
        <v>39</v>
      </c>
      <c r="Y225" t="s">
        <v>589</v>
      </c>
      <c r="Z225" s="3" t="s">
        <v>39</v>
      </c>
    </row>
    <row r="226" spans="1:26" x14ac:dyDescent="0.25">
      <c r="A226" t="s">
        <v>615</v>
      </c>
      <c r="B226" t="s">
        <v>616</v>
      </c>
      <c r="C226" s="3" t="s">
        <v>359</v>
      </c>
      <c r="D226" t="str">
        <f>"356411468317607690"</f>
        <v>356411468317607690</v>
      </c>
      <c r="E226" s="3" t="s">
        <v>38</v>
      </c>
      <c r="F226" s="9">
        <v>4800</v>
      </c>
      <c r="G226" s="36" t="s">
        <v>260</v>
      </c>
      <c r="H226" s="36" t="s">
        <v>617</v>
      </c>
      <c r="I226" s="36" t="s">
        <v>40</v>
      </c>
      <c r="J226" s="3" t="str">
        <f>"12/07/2016 15:28"</f>
        <v>12/07/2016 15:28</v>
      </c>
      <c r="K226" s="3" t="str">
        <f>"M"</f>
        <v>M</v>
      </c>
      <c r="L226" s="3" t="str">
        <f>"9710415045"</f>
        <v>9710415045</v>
      </c>
      <c r="M226" s="3" t="str">
        <f t="shared" si="17"/>
        <v>Male</v>
      </c>
      <c r="N226" t="s">
        <v>618</v>
      </c>
      <c r="O226" t="s">
        <v>619</v>
      </c>
      <c r="P226" s="9">
        <v>1</v>
      </c>
      <c r="Q226" s="55">
        <v>4800</v>
      </c>
      <c r="R226" s="7">
        <v>4632</v>
      </c>
      <c r="S226" s="7">
        <v>168</v>
      </c>
      <c r="T226" s="11">
        <v>3.5000000000000003E-2</v>
      </c>
      <c r="U226" s="11">
        <v>0</v>
      </c>
      <c r="V226" s="11">
        <v>0</v>
      </c>
      <c r="W226" s="11">
        <v>0</v>
      </c>
      <c r="X226" s="3" t="s">
        <v>39</v>
      </c>
      <c r="Y226" t="s">
        <v>589</v>
      </c>
      <c r="Z226" s="3" t="s">
        <v>39</v>
      </c>
    </row>
    <row r="227" spans="1:26" x14ac:dyDescent="0.25">
      <c r="A227" t="s">
        <v>620</v>
      </c>
      <c r="B227" t="s">
        <v>621</v>
      </c>
      <c r="C227" s="3" t="s">
        <v>359</v>
      </c>
      <c r="D227" t="str">
        <f>"356411468317607690"</f>
        <v>356411468317607690</v>
      </c>
      <c r="E227" s="3" t="s">
        <v>38</v>
      </c>
      <c r="F227" s="9">
        <v>4800</v>
      </c>
      <c r="G227" s="36" t="s">
        <v>260</v>
      </c>
      <c r="H227" s="36" t="s">
        <v>617</v>
      </c>
      <c r="I227" s="36" t="s">
        <v>40</v>
      </c>
      <c r="J227" s="3" t="str">
        <f>"12/07/2016 15:28"</f>
        <v>12/07/2016 15:28</v>
      </c>
      <c r="K227" s="3" t="str">
        <f>"S"</f>
        <v>S</v>
      </c>
      <c r="L227" s="3" t="str">
        <f>"8939352242"</f>
        <v>8939352242</v>
      </c>
      <c r="M227" s="3" t="str">
        <f t="shared" si="17"/>
        <v>Male</v>
      </c>
      <c r="N227" t="s">
        <v>618</v>
      </c>
      <c r="O227" t="s">
        <v>619</v>
      </c>
      <c r="P227" s="9">
        <v>1</v>
      </c>
      <c r="Q227" s="55">
        <v>4800</v>
      </c>
      <c r="R227" s="7">
        <v>4632</v>
      </c>
      <c r="S227" s="7">
        <v>168</v>
      </c>
      <c r="T227" s="11">
        <v>3.5000000000000003E-2</v>
      </c>
      <c r="U227" s="11">
        <v>0</v>
      </c>
      <c r="V227" s="11">
        <v>0</v>
      </c>
      <c r="W227" s="11">
        <v>0</v>
      </c>
      <c r="X227" s="3" t="s">
        <v>39</v>
      </c>
      <c r="Y227" t="s">
        <v>589</v>
      </c>
      <c r="Z227" s="3" t="s">
        <v>39</v>
      </c>
    </row>
    <row r="228" spans="1:26" x14ac:dyDescent="0.25">
      <c r="A228" t="s">
        <v>622</v>
      </c>
      <c r="B228" t="s">
        <v>622</v>
      </c>
      <c r="C228" s="3" t="s">
        <v>359</v>
      </c>
      <c r="D228" t="s">
        <v>252</v>
      </c>
      <c r="E228" t="s">
        <v>252</v>
      </c>
      <c r="F228" s="9">
        <v>6000</v>
      </c>
      <c r="G228" s="36" t="s">
        <v>39</v>
      </c>
      <c r="H228" t="s">
        <v>252</v>
      </c>
      <c r="I228" s="36" t="s">
        <v>40</v>
      </c>
      <c r="J228" s="3" t="s">
        <v>252</v>
      </c>
      <c r="K228" s="3" t="s">
        <v>252</v>
      </c>
      <c r="L228" s="3" t="s">
        <v>252</v>
      </c>
      <c r="M228" s="3" t="s">
        <v>252</v>
      </c>
      <c r="N228" s="3" t="s">
        <v>252</v>
      </c>
      <c r="O228" s="3" t="s">
        <v>252</v>
      </c>
      <c r="P228" s="9">
        <v>1</v>
      </c>
      <c r="Q228" s="55">
        <v>6000</v>
      </c>
      <c r="R228" s="55">
        <v>6000</v>
      </c>
      <c r="S228" s="7">
        <v>0</v>
      </c>
      <c r="T228" s="11">
        <v>0</v>
      </c>
      <c r="U228" s="11">
        <v>0</v>
      </c>
      <c r="V228" s="11">
        <v>0</v>
      </c>
      <c r="W228" s="11">
        <v>0</v>
      </c>
      <c r="X228" s="3" t="s">
        <v>39</v>
      </c>
      <c r="Y228" t="s">
        <v>589</v>
      </c>
      <c r="Z228" s="3" t="s">
        <v>39</v>
      </c>
    </row>
    <row r="229" spans="1:26" x14ac:dyDescent="0.25">
      <c r="A229" t="s">
        <v>622</v>
      </c>
      <c r="B229" t="s">
        <v>622</v>
      </c>
      <c r="C229" s="3" t="s">
        <v>359</v>
      </c>
      <c r="D229" t="s">
        <v>252</v>
      </c>
      <c r="E229" t="s">
        <v>252</v>
      </c>
      <c r="F229" s="9">
        <v>6000</v>
      </c>
      <c r="G229" s="36" t="s">
        <v>39</v>
      </c>
      <c r="H229" t="s">
        <v>252</v>
      </c>
      <c r="I229" s="36" t="s">
        <v>40</v>
      </c>
      <c r="J229" s="3" t="s">
        <v>252</v>
      </c>
      <c r="K229" s="3" t="s">
        <v>252</v>
      </c>
      <c r="L229" s="3" t="s">
        <v>252</v>
      </c>
      <c r="M229" s="3" t="s">
        <v>252</v>
      </c>
      <c r="N229" s="3" t="s">
        <v>252</v>
      </c>
      <c r="O229" s="3" t="s">
        <v>252</v>
      </c>
      <c r="P229" s="9">
        <v>1</v>
      </c>
      <c r="Q229" s="55">
        <v>6000</v>
      </c>
      <c r="R229" s="55">
        <v>6000</v>
      </c>
      <c r="S229" s="7">
        <v>0</v>
      </c>
      <c r="T229" s="11">
        <v>0</v>
      </c>
      <c r="U229" s="11">
        <v>0</v>
      </c>
      <c r="V229" s="11">
        <v>0</v>
      </c>
      <c r="W229" s="11">
        <v>0</v>
      </c>
      <c r="X229" s="3" t="s">
        <v>39</v>
      </c>
      <c r="Y229" t="s">
        <v>589</v>
      </c>
      <c r="Z229" s="3" t="s">
        <v>39</v>
      </c>
    </row>
    <row r="230" spans="1:26" x14ac:dyDescent="0.25">
      <c r="F230" s="9"/>
      <c r="J230"/>
      <c r="L230" s="3"/>
      <c r="M230"/>
      <c r="P230" s="9"/>
      <c r="Q230" s="7"/>
      <c r="R230" s="7"/>
      <c r="S230" s="7"/>
      <c r="T230" s="11"/>
      <c r="U230" s="11"/>
      <c r="V230" s="11"/>
      <c r="W230" s="11"/>
      <c r="Y230"/>
      <c r="Z230" s="3"/>
    </row>
    <row r="231" spans="1:26" x14ac:dyDescent="0.25">
      <c r="F231" s="9"/>
      <c r="P231" s="9"/>
      <c r="Q231" s="49">
        <f>SUM(Q2:Q230)</f>
        <v>1128018</v>
      </c>
      <c r="R231" s="49">
        <f>SUM(R2:R230)</f>
        <v>1088957.3499999999</v>
      </c>
      <c r="S231" s="49">
        <f>SUM(S2:S230)</f>
        <v>39060.65</v>
      </c>
      <c r="T231" s="21"/>
      <c r="U231" s="21"/>
      <c r="V231" s="21"/>
      <c r="X231" s="11"/>
      <c r="Y231" s="43"/>
    </row>
    <row r="232" spans="1:26" x14ac:dyDescent="0.25">
      <c r="F232" s="9"/>
      <c r="P232" s="9"/>
      <c r="Q232" s="8"/>
      <c r="R232" s="20"/>
      <c r="S232" s="20"/>
      <c r="T232" s="21"/>
      <c r="U232" s="21"/>
      <c r="V232" s="21"/>
      <c r="X232" s="11"/>
      <c r="Y232" s="43"/>
    </row>
    <row r="233" spans="1:26" x14ac:dyDescent="0.25">
      <c r="F233" s="9"/>
      <c r="P233" s="9"/>
      <c r="Q233" s="8"/>
      <c r="R233" s="20"/>
      <c r="S233" s="20"/>
      <c r="T233" s="21"/>
      <c r="U233" s="21"/>
      <c r="V233" s="21"/>
      <c r="X233" s="11"/>
      <c r="Y233" s="43"/>
    </row>
    <row r="234" spans="1:26" x14ac:dyDescent="0.25">
      <c r="F234" s="9"/>
      <c r="P234" s="9"/>
      <c r="Q234" s="8"/>
      <c r="R234" s="20"/>
      <c r="S234" s="20"/>
      <c r="T234" s="21"/>
      <c r="U234" s="21"/>
      <c r="V234" s="21"/>
      <c r="X234" s="11"/>
      <c r="Y234" s="43"/>
    </row>
    <row r="235" spans="1:26" x14ac:dyDescent="0.25">
      <c r="F235" s="9"/>
      <c r="P235" s="9"/>
      <c r="Q235" s="8"/>
      <c r="R235" s="20"/>
      <c r="S235" s="20"/>
      <c r="T235" s="21"/>
      <c r="U235" s="21"/>
      <c r="V235" s="21"/>
      <c r="X235" s="11"/>
      <c r="Y235" s="43"/>
    </row>
    <row r="236" spans="1:26" x14ac:dyDescent="0.25">
      <c r="F236" s="9"/>
      <c r="P236" s="9"/>
      <c r="Q236" s="8"/>
      <c r="R236" s="20"/>
      <c r="S236" s="20"/>
      <c r="T236" s="21"/>
      <c r="U236" s="21"/>
      <c r="V236" s="21"/>
      <c r="X236" s="11"/>
      <c r="Y236" s="43"/>
    </row>
    <row r="237" spans="1:26" x14ac:dyDescent="0.25">
      <c r="F237" s="9"/>
      <c r="P237" s="9"/>
      <c r="Q237" s="8"/>
      <c r="R237" s="20"/>
      <c r="S237" s="20"/>
      <c r="T237" s="21"/>
      <c r="U237" s="21"/>
      <c r="V237" s="21"/>
      <c r="X237" s="11"/>
      <c r="Y237" s="43"/>
    </row>
    <row r="238" spans="1:26" x14ac:dyDescent="0.25">
      <c r="F238" s="9"/>
      <c r="P238" s="9"/>
      <c r="Q238" s="8"/>
      <c r="R238" s="20"/>
      <c r="S238" s="20"/>
      <c r="T238" s="21"/>
      <c r="U238" s="21"/>
      <c r="V238" s="21"/>
      <c r="X238" s="11"/>
      <c r="Y238" s="43"/>
    </row>
    <row r="239" spans="1:26" x14ac:dyDescent="0.25">
      <c r="F239" s="9"/>
      <c r="P239" s="9"/>
      <c r="Q239" s="8"/>
      <c r="R239" s="20"/>
      <c r="S239" s="20"/>
      <c r="T239" s="21"/>
      <c r="U239" s="21"/>
      <c r="V239" s="21"/>
      <c r="X239" s="11"/>
      <c r="Y239" s="43"/>
    </row>
    <row r="240" spans="1:26" x14ac:dyDescent="0.25">
      <c r="F240" s="9"/>
      <c r="P240" s="9"/>
      <c r="Q240" s="8"/>
      <c r="R240" s="20"/>
      <c r="S240" s="20"/>
      <c r="T240" s="21"/>
      <c r="U240" s="21"/>
      <c r="V240" s="21"/>
      <c r="X240" s="11"/>
      <c r="Y240" s="43"/>
    </row>
    <row r="241" spans="6:25" x14ac:dyDescent="0.25">
      <c r="F241" s="9"/>
      <c r="P241" s="9"/>
      <c r="Q241" s="8"/>
      <c r="R241" s="20"/>
      <c r="S241" s="20"/>
      <c r="T241" s="21"/>
      <c r="U241" s="21"/>
      <c r="V241" s="21"/>
      <c r="X241" s="11"/>
      <c r="Y241" s="43"/>
    </row>
    <row r="242" spans="6:25" x14ac:dyDescent="0.25">
      <c r="F242" s="9"/>
      <c r="P242" s="9"/>
      <c r="Q242" s="8"/>
      <c r="R242" s="20"/>
      <c r="S242" s="20"/>
      <c r="T242" s="21"/>
      <c r="U242" s="21"/>
      <c r="V242" s="21"/>
      <c r="X242" s="11"/>
      <c r="Y242" s="43"/>
    </row>
    <row r="243" spans="6:25" x14ac:dyDescent="0.25">
      <c r="F243" s="9"/>
      <c r="P243" s="9"/>
      <c r="Q243" s="8"/>
      <c r="R243" s="20"/>
      <c r="S243" s="20"/>
      <c r="T243" s="21"/>
      <c r="U243" s="21"/>
      <c r="V243" s="21"/>
      <c r="X243" s="11"/>
      <c r="Y243" s="43"/>
    </row>
    <row r="244" spans="6:25" x14ac:dyDescent="0.25">
      <c r="F244" s="9"/>
      <c r="P244" s="9"/>
      <c r="Q244" s="8"/>
      <c r="R244" s="20"/>
      <c r="S244" s="20"/>
      <c r="T244" s="21"/>
      <c r="U244" s="21"/>
      <c r="V244" s="21"/>
      <c r="X244" s="11"/>
      <c r="Y244" s="43"/>
    </row>
    <row r="245" spans="6:25" x14ac:dyDescent="0.25">
      <c r="F245" s="9"/>
      <c r="P245" s="9"/>
      <c r="Q245" s="8"/>
      <c r="R245" s="20"/>
      <c r="S245" s="20"/>
      <c r="T245" s="21"/>
      <c r="U245" s="21"/>
      <c r="V245" s="21"/>
      <c r="X245" s="11"/>
      <c r="Y245" s="43"/>
    </row>
    <row r="246" spans="6:25" x14ac:dyDescent="0.25">
      <c r="F246" s="9"/>
      <c r="P246" s="9"/>
      <c r="Q246" s="8"/>
      <c r="R246" s="20"/>
      <c r="S246" s="20"/>
      <c r="T246" s="21"/>
      <c r="U246" s="21"/>
      <c r="V246" s="21"/>
      <c r="X246" s="11"/>
      <c r="Y246" s="43"/>
    </row>
    <row r="247" spans="6:25" x14ac:dyDescent="0.25">
      <c r="F247" s="9"/>
      <c r="P247" s="9"/>
      <c r="Q247" s="8"/>
      <c r="R247" s="20"/>
      <c r="S247" s="20"/>
      <c r="T247" s="21"/>
      <c r="U247" s="21"/>
      <c r="V247" s="21"/>
      <c r="X247" s="11"/>
      <c r="Y247" s="43"/>
    </row>
    <row r="248" spans="6:25" x14ac:dyDescent="0.25">
      <c r="F248" s="9"/>
      <c r="P248" s="9"/>
      <c r="Q248" s="8"/>
      <c r="R248" s="20"/>
      <c r="S248" s="20"/>
      <c r="T248" s="21"/>
      <c r="U248" s="21"/>
      <c r="V248" s="21"/>
      <c r="X248" s="11"/>
      <c r="Y248" s="43"/>
    </row>
    <row r="249" spans="6:25" x14ac:dyDescent="0.25">
      <c r="F249" s="9"/>
      <c r="P249" s="9"/>
      <c r="Q249" s="8"/>
      <c r="R249" s="20"/>
      <c r="S249" s="20"/>
      <c r="T249" s="21"/>
      <c r="U249" s="21"/>
      <c r="V249" s="21"/>
      <c r="X249" s="11"/>
      <c r="Y249" s="43"/>
    </row>
    <row r="250" spans="6:25" x14ac:dyDescent="0.25">
      <c r="F250" s="9"/>
      <c r="P250" s="9"/>
      <c r="Q250" s="8"/>
      <c r="R250" s="20"/>
      <c r="S250" s="20"/>
      <c r="T250" s="21"/>
      <c r="U250" s="21"/>
      <c r="V250" s="21"/>
      <c r="X250" s="11"/>
      <c r="Y250" s="43"/>
    </row>
    <row r="251" spans="6:25" x14ac:dyDescent="0.25">
      <c r="F251" s="9"/>
      <c r="P251" s="9"/>
      <c r="Q251" s="8"/>
      <c r="R251" s="20"/>
      <c r="S251" s="20"/>
      <c r="T251" s="21"/>
      <c r="U251" s="21"/>
      <c r="V251" s="21"/>
      <c r="X251" s="11"/>
      <c r="Y251" s="43"/>
    </row>
    <row r="252" spans="6:25" x14ac:dyDescent="0.25">
      <c r="F252" s="9"/>
      <c r="P252" s="9"/>
      <c r="Q252" s="8"/>
      <c r="R252" s="20"/>
      <c r="S252" s="20"/>
      <c r="T252" s="21"/>
      <c r="U252" s="21"/>
      <c r="V252" s="21"/>
      <c r="X252" s="11"/>
      <c r="Y252" s="43"/>
    </row>
    <row r="253" spans="6:25" x14ac:dyDescent="0.25">
      <c r="F253" s="9"/>
      <c r="P253" s="9"/>
      <c r="Q253" s="8"/>
      <c r="R253" s="20"/>
      <c r="S253" s="20"/>
      <c r="T253" s="21"/>
      <c r="U253" s="21"/>
      <c r="V253" s="21"/>
      <c r="X253" s="11"/>
      <c r="Y253" s="43"/>
    </row>
    <row r="254" spans="6:25" x14ac:dyDescent="0.25">
      <c r="F254" s="9"/>
      <c r="P254" s="9"/>
      <c r="Q254" s="8"/>
      <c r="R254" s="20"/>
      <c r="S254" s="20"/>
      <c r="T254" s="21"/>
      <c r="U254" s="21"/>
      <c r="V254" s="21"/>
      <c r="X254" s="11"/>
      <c r="Y254" s="43"/>
    </row>
    <row r="255" spans="6:25" x14ac:dyDescent="0.25">
      <c r="F255" s="9"/>
      <c r="P255" s="9"/>
      <c r="Q255" s="8"/>
      <c r="R255" s="20"/>
      <c r="S255" s="20"/>
      <c r="T255" s="21"/>
      <c r="U255" s="21"/>
      <c r="V255" s="21"/>
      <c r="X255" s="11"/>
      <c r="Y255" s="43"/>
    </row>
    <row r="256" spans="6:25" x14ac:dyDescent="0.25">
      <c r="F256" s="9"/>
      <c r="P256" s="9"/>
      <c r="Q256" s="8"/>
      <c r="R256" s="20"/>
      <c r="S256" s="20"/>
      <c r="T256" s="21"/>
      <c r="U256" s="21"/>
      <c r="V256" s="21"/>
      <c r="X256" s="11"/>
      <c r="Y256" s="43"/>
    </row>
    <row r="257" spans="6:25" x14ac:dyDescent="0.25">
      <c r="F257" s="9"/>
      <c r="P257" s="9"/>
      <c r="Q257" s="8"/>
      <c r="R257" s="20"/>
      <c r="S257" s="20"/>
      <c r="T257" s="21"/>
      <c r="U257" s="21"/>
      <c r="V257" s="21"/>
      <c r="X257" s="11"/>
      <c r="Y257" s="43"/>
    </row>
    <row r="258" spans="6:25" x14ac:dyDescent="0.25">
      <c r="F258" s="9"/>
      <c r="P258" s="9"/>
      <c r="Q258" s="8"/>
      <c r="R258" s="20"/>
      <c r="S258" s="20"/>
      <c r="T258" s="21"/>
      <c r="U258" s="21"/>
      <c r="V258" s="21"/>
      <c r="X258" s="11"/>
      <c r="Y258" s="43"/>
    </row>
    <row r="259" spans="6:25" x14ac:dyDescent="0.25">
      <c r="F259" s="9"/>
      <c r="P259" s="9"/>
      <c r="Q259" s="8"/>
      <c r="R259" s="20"/>
      <c r="S259" s="20"/>
      <c r="T259" s="21"/>
      <c r="U259" s="21"/>
      <c r="V259" s="21"/>
      <c r="X259" s="11"/>
      <c r="Y259" s="43"/>
    </row>
    <row r="260" spans="6:25" x14ac:dyDescent="0.25">
      <c r="F260" s="9"/>
      <c r="P260" s="9"/>
      <c r="Q260" s="8"/>
      <c r="R260" s="20"/>
      <c r="S260" s="20"/>
      <c r="T260" s="21"/>
      <c r="U260" s="21"/>
      <c r="V260" s="21"/>
      <c r="X260" s="11"/>
      <c r="Y260" s="43"/>
    </row>
    <row r="261" spans="6:25" x14ac:dyDescent="0.25">
      <c r="F261" s="9"/>
      <c r="P261" s="9"/>
      <c r="Q261" s="8"/>
      <c r="R261" s="20"/>
      <c r="S261" s="20"/>
      <c r="T261" s="21"/>
      <c r="U261" s="21"/>
      <c r="V261" s="21"/>
      <c r="X261" s="11"/>
      <c r="Y261" s="43"/>
    </row>
    <row r="262" spans="6:25" x14ac:dyDescent="0.25">
      <c r="F262" s="9"/>
      <c r="P262" s="9"/>
      <c r="Q262" s="8"/>
      <c r="R262" s="20"/>
      <c r="S262" s="20"/>
      <c r="T262" s="21"/>
      <c r="U262" s="21"/>
      <c r="V262" s="21"/>
      <c r="X262" s="11"/>
      <c r="Y262" s="43"/>
    </row>
    <row r="263" spans="6:25" x14ac:dyDescent="0.25">
      <c r="F263" s="9"/>
      <c r="P263" s="9"/>
      <c r="Q263" s="8"/>
      <c r="R263" s="20"/>
      <c r="S263" s="20"/>
      <c r="T263" s="21"/>
      <c r="U263" s="21"/>
      <c r="V263" s="21"/>
      <c r="X263" s="11"/>
      <c r="Y263" s="43"/>
    </row>
    <row r="264" spans="6:25" x14ac:dyDescent="0.25">
      <c r="F264" s="9"/>
      <c r="P264" s="9"/>
      <c r="Q264" s="8"/>
      <c r="R264" s="20"/>
      <c r="S264" s="20"/>
      <c r="T264" s="21"/>
      <c r="U264" s="21"/>
      <c r="V264" s="21"/>
      <c r="X264" s="11"/>
      <c r="Y264" s="43"/>
    </row>
    <row r="265" spans="6:25" x14ac:dyDescent="0.25">
      <c r="F265" s="9"/>
      <c r="P265" s="9"/>
      <c r="Q265" s="8"/>
      <c r="R265" s="20"/>
      <c r="S265" s="20"/>
      <c r="T265" s="21"/>
      <c r="U265" s="21"/>
      <c r="V265" s="21"/>
      <c r="X265" s="11"/>
      <c r="Y265" s="43"/>
    </row>
    <row r="266" spans="6:25" x14ac:dyDescent="0.25">
      <c r="F266" s="9"/>
      <c r="P266" s="9"/>
      <c r="Q266" s="8"/>
      <c r="R266" s="20"/>
      <c r="S266" s="20"/>
      <c r="T266" s="21"/>
      <c r="U266" s="21"/>
      <c r="V266" s="21"/>
      <c r="X266" s="11"/>
      <c r="Y266" s="43"/>
    </row>
    <row r="267" spans="6:25" x14ac:dyDescent="0.25">
      <c r="F267" s="9"/>
      <c r="P267" s="9"/>
      <c r="Q267" s="8"/>
      <c r="R267" s="20"/>
      <c r="S267" s="20"/>
      <c r="T267" s="21"/>
      <c r="U267" s="21"/>
      <c r="V267" s="21"/>
      <c r="X267" s="11"/>
      <c r="Y267" s="43"/>
    </row>
    <row r="268" spans="6:25" x14ac:dyDescent="0.25">
      <c r="F268" s="9"/>
      <c r="P268" s="9"/>
      <c r="Q268" s="8"/>
      <c r="R268" s="20"/>
      <c r="S268" s="20"/>
      <c r="T268" s="21"/>
      <c r="U268" s="21"/>
      <c r="V268" s="21"/>
      <c r="X268" s="11"/>
      <c r="Y268" s="43"/>
    </row>
    <row r="269" spans="6:25" x14ac:dyDescent="0.25">
      <c r="F269" s="9"/>
      <c r="P269" s="9"/>
      <c r="Q269" s="8"/>
      <c r="R269" s="20"/>
      <c r="S269" s="20"/>
      <c r="T269" s="21"/>
      <c r="U269" s="21"/>
      <c r="V269" s="21"/>
      <c r="X269" s="11"/>
      <c r="Y269" s="43"/>
    </row>
    <row r="270" spans="6:25" x14ac:dyDescent="0.25">
      <c r="F270" s="9"/>
      <c r="P270" s="9"/>
      <c r="Q270" s="8"/>
      <c r="R270" s="20"/>
      <c r="S270" s="20"/>
      <c r="T270" s="21"/>
      <c r="U270" s="21"/>
      <c r="V270" s="21"/>
      <c r="X270" s="11"/>
      <c r="Y270" s="43"/>
    </row>
    <row r="271" spans="6:25" x14ac:dyDescent="0.25">
      <c r="F271" s="9"/>
      <c r="P271" s="9"/>
      <c r="Q271" s="8"/>
      <c r="R271" s="20"/>
      <c r="S271" s="20"/>
      <c r="T271" s="21"/>
      <c r="U271" s="21"/>
      <c r="V271" s="21"/>
      <c r="X271" s="11"/>
      <c r="Y271" s="43"/>
    </row>
    <row r="272" spans="6:25" x14ac:dyDescent="0.25">
      <c r="F272" s="9"/>
      <c r="P272" s="9"/>
      <c r="Q272" s="8"/>
      <c r="R272" s="20"/>
      <c r="S272" s="20"/>
      <c r="T272" s="21"/>
      <c r="U272" s="21"/>
      <c r="V272" s="21"/>
      <c r="X272" s="11"/>
      <c r="Y272" s="43"/>
    </row>
    <row r="273" spans="6:25" x14ac:dyDescent="0.25">
      <c r="F273" s="9"/>
      <c r="P273" s="9"/>
      <c r="Q273" s="8"/>
      <c r="R273" s="20"/>
      <c r="S273" s="20"/>
      <c r="T273" s="21"/>
      <c r="U273" s="21"/>
      <c r="V273" s="21"/>
      <c r="X273" s="11"/>
      <c r="Y273" s="43"/>
    </row>
    <row r="274" spans="6:25" x14ac:dyDescent="0.25">
      <c r="F274" s="9"/>
      <c r="P274" s="9"/>
      <c r="Q274" s="8"/>
      <c r="R274" s="20"/>
      <c r="S274" s="20"/>
      <c r="T274" s="21"/>
      <c r="U274" s="21"/>
      <c r="V274" s="21"/>
      <c r="X274" s="11"/>
      <c r="Y274" s="43"/>
    </row>
    <row r="275" spans="6:25" x14ac:dyDescent="0.25">
      <c r="F275" s="9"/>
      <c r="P275" s="9"/>
      <c r="Q275" s="8"/>
      <c r="R275" s="20"/>
      <c r="S275" s="20"/>
      <c r="T275" s="21"/>
      <c r="U275" s="21"/>
      <c r="V275" s="21"/>
      <c r="X275" s="11"/>
      <c r="Y275" s="43"/>
    </row>
    <row r="276" spans="6:25" x14ac:dyDescent="0.25">
      <c r="F276" s="9"/>
      <c r="P276" s="9"/>
      <c r="Q276" s="8"/>
      <c r="R276" s="20"/>
      <c r="S276" s="20"/>
      <c r="T276" s="21"/>
      <c r="U276" s="21"/>
      <c r="V276" s="21"/>
      <c r="X276" s="11"/>
      <c r="Y276" s="43"/>
    </row>
    <row r="277" spans="6:25" x14ac:dyDescent="0.25">
      <c r="F277" s="9"/>
      <c r="P277" s="9"/>
      <c r="Q277" s="8"/>
      <c r="R277" s="20"/>
      <c r="S277" s="20"/>
      <c r="T277" s="21"/>
      <c r="U277" s="21"/>
      <c r="V277" s="21"/>
      <c r="X277" s="11"/>
      <c r="Y277" s="43"/>
    </row>
    <row r="278" spans="6:25" x14ac:dyDescent="0.25">
      <c r="F278" s="9"/>
      <c r="P278" s="9"/>
      <c r="Q278" s="8"/>
      <c r="R278" s="20"/>
      <c r="S278" s="20"/>
      <c r="T278" s="21"/>
      <c r="U278" s="21"/>
      <c r="V278" s="21"/>
      <c r="X278" s="11"/>
      <c r="Y278" s="43"/>
    </row>
    <row r="279" spans="6:25" x14ac:dyDescent="0.25">
      <c r="F279" s="9"/>
      <c r="P279" s="9"/>
      <c r="Q279" s="8"/>
      <c r="R279" s="20"/>
      <c r="S279" s="20"/>
      <c r="T279" s="21"/>
      <c r="U279" s="21"/>
      <c r="V279" s="21"/>
      <c r="X279" s="11"/>
      <c r="Y279" s="43"/>
    </row>
    <row r="280" spans="6:25" x14ac:dyDescent="0.25">
      <c r="F280" s="9"/>
      <c r="P280" s="9"/>
      <c r="Q280" s="8"/>
      <c r="R280" s="20"/>
      <c r="S280" s="20"/>
      <c r="T280" s="21"/>
      <c r="U280" s="21"/>
      <c r="V280" s="21"/>
      <c r="X280" s="11"/>
      <c r="Y280" s="43"/>
    </row>
    <row r="281" spans="6:25" x14ac:dyDescent="0.25">
      <c r="F281" s="9"/>
      <c r="P281" s="9"/>
      <c r="Q281" s="8"/>
      <c r="R281" s="20"/>
      <c r="S281" s="20"/>
      <c r="T281" s="21"/>
      <c r="U281" s="21"/>
      <c r="V281" s="21"/>
      <c r="X281" s="11"/>
      <c r="Y281" s="43"/>
    </row>
    <row r="282" spans="6:25" x14ac:dyDescent="0.25">
      <c r="F282" s="9"/>
      <c r="P282" s="9"/>
      <c r="Q282" s="8"/>
      <c r="R282" s="20"/>
      <c r="S282" s="20"/>
      <c r="T282" s="21"/>
      <c r="U282" s="21"/>
      <c r="V282" s="21"/>
      <c r="X282" s="11"/>
      <c r="Y282" s="43"/>
    </row>
    <row r="283" spans="6:25" x14ac:dyDescent="0.25">
      <c r="F283" s="9"/>
      <c r="P283" s="9"/>
      <c r="Q283" s="8"/>
      <c r="R283" s="20"/>
      <c r="S283" s="20"/>
      <c r="T283" s="21"/>
      <c r="U283" s="21"/>
      <c r="V283" s="21"/>
      <c r="X283" s="11"/>
      <c r="Y283" s="43"/>
    </row>
    <row r="284" spans="6:25" x14ac:dyDescent="0.25">
      <c r="F284" s="9"/>
      <c r="P284" s="9"/>
      <c r="Q284" s="8"/>
      <c r="R284" s="20"/>
      <c r="S284" s="20"/>
      <c r="T284" s="21"/>
      <c r="U284" s="21"/>
      <c r="V284" s="21"/>
      <c r="X284" s="11"/>
      <c r="Y284" s="43"/>
    </row>
    <row r="285" spans="6:25" x14ac:dyDescent="0.25">
      <c r="F285" s="9"/>
      <c r="P285" s="9"/>
      <c r="Q285" s="8"/>
      <c r="R285" s="20"/>
      <c r="S285" s="20"/>
      <c r="T285" s="21"/>
      <c r="U285" s="21"/>
      <c r="V285" s="21"/>
      <c r="X285" s="11"/>
      <c r="Y285" s="43"/>
    </row>
    <row r="286" spans="6:25" x14ac:dyDescent="0.25">
      <c r="F286" s="9"/>
      <c r="P286" s="9"/>
      <c r="Q286" s="8"/>
      <c r="R286" s="20"/>
      <c r="S286" s="20"/>
      <c r="T286" s="21"/>
      <c r="U286" s="21"/>
      <c r="V286" s="21"/>
      <c r="X286" s="11"/>
      <c r="Y286" s="43"/>
    </row>
    <row r="287" spans="6:25" x14ac:dyDescent="0.25">
      <c r="F287" s="9"/>
      <c r="P287" s="9"/>
      <c r="Q287" s="8"/>
      <c r="R287" s="20"/>
      <c r="S287" s="20"/>
      <c r="T287" s="21"/>
      <c r="U287" s="21"/>
      <c r="V287" s="21"/>
      <c r="X287" s="11"/>
      <c r="Y287" s="43"/>
    </row>
    <row r="288" spans="6:25" x14ac:dyDescent="0.25">
      <c r="F288" s="9"/>
      <c r="P288" s="9"/>
      <c r="Q288" s="8"/>
      <c r="R288" s="20"/>
      <c r="S288" s="20"/>
      <c r="T288" s="21"/>
      <c r="U288" s="21"/>
      <c r="V288" s="21"/>
      <c r="X288" s="11"/>
      <c r="Y288" s="43"/>
    </row>
    <row r="289" spans="6:25" x14ac:dyDescent="0.25">
      <c r="F289" s="9"/>
      <c r="P289" s="9"/>
      <c r="Q289" s="8"/>
      <c r="R289" s="20"/>
      <c r="S289" s="20"/>
      <c r="T289" s="21"/>
      <c r="U289" s="21"/>
      <c r="V289" s="21"/>
      <c r="X289" s="11"/>
      <c r="Y289" s="43"/>
    </row>
    <row r="290" spans="6:25" x14ac:dyDescent="0.25">
      <c r="F290" s="9"/>
      <c r="P290" s="9"/>
      <c r="Q290" s="8"/>
      <c r="R290" s="20"/>
      <c r="S290" s="20"/>
      <c r="T290" s="21"/>
      <c r="U290" s="21"/>
      <c r="V290" s="21"/>
      <c r="X290" s="11"/>
      <c r="Y290" s="43"/>
    </row>
    <row r="291" spans="6:25" x14ac:dyDescent="0.25">
      <c r="F291" s="9"/>
      <c r="P291" s="9"/>
      <c r="Q291" s="8"/>
      <c r="R291" s="20"/>
      <c r="S291" s="20"/>
      <c r="T291" s="21"/>
      <c r="U291" s="21"/>
      <c r="V291" s="21"/>
      <c r="X291" s="11"/>
      <c r="Y291" s="43"/>
    </row>
    <row r="292" spans="6:25" x14ac:dyDescent="0.25">
      <c r="F292" s="9"/>
      <c r="P292" s="9"/>
      <c r="Q292" s="8"/>
      <c r="R292" s="20"/>
      <c r="S292" s="20"/>
      <c r="T292" s="21"/>
      <c r="U292" s="21"/>
      <c r="V292" s="21"/>
      <c r="X292" s="11"/>
      <c r="Y292" s="43"/>
    </row>
    <row r="293" spans="6:25" x14ac:dyDescent="0.25">
      <c r="F293" s="9"/>
      <c r="P293" s="9"/>
      <c r="Q293" s="8"/>
      <c r="R293" s="20"/>
      <c r="S293" s="20"/>
      <c r="T293" s="21"/>
      <c r="U293" s="21"/>
      <c r="V293" s="21"/>
      <c r="X293" s="11"/>
      <c r="Y293" s="43"/>
    </row>
    <row r="294" spans="6:25" x14ac:dyDescent="0.25">
      <c r="F294" s="9"/>
      <c r="P294" s="9"/>
      <c r="Q294" s="8"/>
      <c r="R294" s="20"/>
      <c r="S294" s="20"/>
      <c r="T294" s="21"/>
      <c r="U294" s="21"/>
      <c r="V294" s="21"/>
      <c r="X294" s="11"/>
      <c r="Y294" s="43"/>
    </row>
    <row r="295" spans="6:25" x14ac:dyDescent="0.25">
      <c r="F295" s="9"/>
      <c r="P295" s="9"/>
      <c r="Q295" s="8"/>
      <c r="R295" s="20"/>
      <c r="S295" s="20"/>
      <c r="T295" s="21"/>
      <c r="U295" s="21"/>
      <c r="V295" s="21"/>
      <c r="X295" s="11"/>
      <c r="Y295" s="43"/>
    </row>
    <row r="296" spans="6:25" x14ac:dyDescent="0.25">
      <c r="F296" s="9"/>
      <c r="P296" s="9"/>
      <c r="Q296" s="8"/>
      <c r="R296" s="20"/>
      <c r="S296" s="20"/>
      <c r="T296" s="21"/>
      <c r="U296" s="21"/>
      <c r="V296" s="21"/>
      <c r="X296" s="11"/>
      <c r="Y296" s="43"/>
    </row>
    <row r="297" spans="6:25" x14ac:dyDescent="0.25">
      <c r="F297" s="9"/>
      <c r="P297" s="9"/>
      <c r="Q297" s="8"/>
      <c r="R297" s="20"/>
      <c r="S297" s="20"/>
      <c r="T297" s="21"/>
      <c r="U297" s="21"/>
      <c r="V297" s="21"/>
      <c r="X297" s="11"/>
      <c r="Y297" s="43"/>
    </row>
    <row r="298" spans="6:25" x14ac:dyDescent="0.25">
      <c r="F298" s="9"/>
      <c r="P298" s="9"/>
      <c r="Q298" s="8"/>
      <c r="R298" s="20"/>
      <c r="S298" s="20"/>
      <c r="T298" s="21"/>
      <c r="U298" s="21"/>
      <c r="V298" s="21"/>
      <c r="X298" s="11"/>
      <c r="Y298" s="43"/>
    </row>
    <row r="299" spans="6:25" x14ac:dyDescent="0.25">
      <c r="F299" s="9"/>
      <c r="P299" s="9"/>
      <c r="Q299" s="8"/>
      <c r="R299" s="20"/>
      <c r="S299" s="20"/>
      <c r="T299" s="21"/>
      <c r="U299" s="21"/>
      <c r="V299" s="21"/>
      <c r="X299" s="11"/>
      <c r="Y299" s="43"/>
    </row>
    <row r="300" spans="6:25" x14ac:dyDescent="0.25">
      <c r="F300" s="9"/>
      <c r="P300" s="9"/>
      <c r="Q300" s="8"/>
      <c r="R300" s="20"/>
      <c r="S300" s="20"/>
      <c r="T300" s="21"/>
      <c r="U300" s="21"/>
      <c r="V300" s="21"/>
      <c r="X300" s="11"/>
      <c r="Y300" s="43"/>
    </row>
    <row r="301" spans="6:25" x14ac:dyDescent="0.25">
      <c r="F301" s="9"/>
      <c r="P301" s="9"/>
      <c r="Q301" s="8"/>
      <c r="R301" s="20"/>
      <c r="S301" s="20"/>
      <c r="T301" s="21"/>
      <c r="U301" s="21"/>
      <c r="V301" s="21"/>
      <c r="X301" s="11"/>
      <c r="Y301" s="43"/>
    </row>
    <row r="302" spans="6:25" x14ac:dyDescent="0.25">
      <c r="F302" s="9"/>
      <c r="P302" s="9"/>
      <c r="Q302" s="8"/>
      <c r="R302" s="20"/>
      <c r="S302" s="20"/>
      <c r="T302" s="21"/>
      <c r="U302" s="21"/>
      <c r="V302" s="21"/>
      <c r="X302" s="11"/>
      <c r="Y302" s="43"/>
    </row>
    <row r="303" spans="6:25" x14ac:dyDescent="0.25">
      <c r="F303" s="9"/>
      <c r="P303" s="9"/>
      <c r="Q303" s="8"/>
      <c r="R303" s="20"/>
      <c r="S303" s="20"/>
      <c r="T303" s="21"/>
      <c r="U303" s="21"/>
      <c r="V303" s="21"/>
      <c r="X303" s="11"/>
      <c r="Y303" s="43"/>
    </row>
    <row r="304" spans="6:25" x14ac:dyDescent="0.25">
      <c r="F304" s="9"/>
      <c r="P304" s="9"/>
      <c r="Q304" s="8"/>
      <c r="R304" s="20"/>
      <c r="S304" s="20"/>
      <c r="T304" s="21"/>
      <c r="U304" s="21"/>
      <c r="V304" s="21"/>
      <c r="X304" s="11"/>
      <c r="Y304" s="43"/>
    </row>
    <row r="305" spans="6:25" x14ac:dyDescent="0.25">
      <c r="F305" s="9"/>
      <c r="P305" s="9"/>
      <c r="Q305" s="8"/>
      <c r="R305" s="20"/>
      <c r="S305" s="20"/>
      <c r="T305" s="21"/>
      <c r="U305" s="21"/>
      <c r="V305" s="21"/>
      <c r="X305" s="11"/>
      <c r="Y305" s="43"/>
    </row>
    <row r="306" spans="6:25" x14ac:dyDescent="0.25">
      <c r="F306" s="9"/>
      <c r="P306" s="9"/>
      <c r="Q306" s="8"/>
      <c r="R306" s="20"/>
      <c r="S306" s="20"/>
      <c r="T306" s="21"/>
      <c r="U306" s="21"/>
      <c r="V306" s="21"/>
      <c r="X306" s="11"/>
      <c r="Y306" s="43"/>
    </row>
    <row r="307" spans="6:25" x14ac:dyDescent="0.25">
      <c r="F307" s="9"/>
      <c r="P307" s="9"/>
      <c r="Q307" s="8"/>
      <c r="R307" s="20"/>
      <c r="S307" s="20"/>
      <c r="T307" s="21"/>
      <c r="U307" s="21"/>
      <c r="V307" s="21"/>
      <c r="X307" s="11"/>
      <c r="Y307" s="43"/>
    </row>
    <row r="308" spans="6:25" x14ac:dyDescent="0.25">
      <c r="F308" s="9"/>
      <c r="P308" s="9"/>
      <c r="Q308" s="8"/>
      <c r="R308" s="20"/>
      <c r="S308" s="20"/>
      <c r="T308" s="21"/>
      <c r="U308" s="21"/>
      <c r="V308" s="21"/>
      <c r="X308" s="11"/>
      <c r="Y308" s="43"/>
    </row>
    <row r="309" spans="6:25" x14ac:dyDescent="0.25">
      <c r="F309" s="9"/>
      <c r="P309" s="9"/>
      <c r="Q309" s="8"/>
      <c r="R309" s="20"/>
      <c r="S309" s="20"/>
      <c r="T309" s="21"/>
      <c r="U309" s="21"/>
      <c r="V309" s="21"/>
      <c r="X309" s="11"/>
      <c r="Y309" s="43"/>
    </row>
    <row r="310" spans="6:25" x14ac:dyDescent="0.25">
      <c r="F310" s="9"/>
      <c r="P310" s="9"/>
      <c r="Q310" s="8"/>
      <c r="R310" s="20"/>
      <c r="S310" s="20"/>
      <c r="T310" s="21"/>
      <c r="U310" s="21"/>
      <c r="V310" s="21"/>
      <c r="X310" s="11"/>
      <c r="Y310" s="43"/>
    </row>
    <row r="311" spans="6:25" x14ac:dyDescent="0.25">
      <c r="F311" s="9"/>
      <c r="P311" s="9"/>
      <c r="Q311" s="8"/>
      <c r="R311" s="20"/>
      <c r="S311" s="20"/>
      <c r="T311" s="21"/>
      <c r="U311" s="21"/>
      <c r="V311" s="21"/>
      <c r="X311" s="11"/>
      <c r="Y311" s="43"/>
    </row>
    <row r="312" spans="6:25" x14ac:dyDescent="0.25">
      <c r="F312" s="9"/>
      <c r="P312" s="9"/>
      <c r="Q312" s="8"/>
      <c r="R312" s="20"/>
      <c r="S312" s="20"/>
      <c r="T312" s="21"/>
      <c r="U312" s="21"/>
      <c r="V312" s="21"/>
      <c r="X312" s="11"/>
      <c r="Y312" s="43"/>
    </row>
    <row r="313" spans="6:25" x14ac:dyDescent="0.25">
      <c r="F313" s="9"/>
      <c r="P313" s="9"/>
      <c r="Q313" s="8"/>
      <c r="R313" s="20"/>
      <c r="S313" s="20"/>
      <c r="T313" s="21"/>
      <c r="U313" s="21"/>
      <c r="V313" s="21"/>
      <c r="X313" s="11"/>
      <c r="Y313" s="43"/>
    </row>
    <row r="314" spans="6:25" x14ac:dyDescent="0.25">
      <c r="F314" s="9"/>
      <c r="P314" s="9"/>
      <c r="Q314" s="8"/>
      <c r="R314" s="20"/>
      <c r="S314" s="20"/>
      <c r="T314" s="21"/>
      <c r="U314" s="21"/>
      <c r="V314" s="21"/>
      <c r="X314" s="11"/>
      <c r="Y314" s="43"/>
    </row>
    <row r="315" spans="6:25" x14ac:dyDescent="0.25">
      <c r="F315" s="9"/>
      <c r="P315" s="9"/>
      <c r="Q315" s="8"/>
      <c r="R315" s="20"/>
      <c r="S315" s="20"/>
      <c r="T315" s="21"/>
      <c r="U315" s="21"/>
      <c r="V315" s="21"/>
      <c r="X315" s="11"/>
      <c r="Y315" s="43"/>
    </row>
    <row r="316" spans="6:25" x14ac:dyDescent="0.25">
      <c r="F316" s="9"/>
      <c r="P316" s="9"/>
      <c r="Q316" s="8"/>
      <c r="R316" s="20"/>
      <c r="S316" s="20"/>
      <c r="T316" s="21"/>
      <c r="U316" s="21"/>
      <c r="V316" s="21"/>
      <c r="X316" s="11"/>
      <c r="Y316" s="43"/>
    </row>
    <row r="317" spans="6:25" x14ac:dyDescent="0.25">
      <c r="F317" s="9"/>
      <c r="P317" s="9"/>
      <c r="Q317" s="8"/>
      <c r="R317" s="20"/>
      <c r="S317" s="20"/>
      <c r="T317" s="21"/>
      <c r="U317" s="21"/>
      <c r="V317" s="21"/>
      <c r="X317" s="11"/>
      <c r="Y317" s="43"/>
    </row>
    <row r="318" spans="6:25" x14ac:dyDescent="0.25">
      <c r="F318" s="9"/>
      <c r="P318" s="9"/>
      <c r="Q318" s="8"/>
      <c r="R318" s="20"/>
      <c r="S318" s="20"/>
      <c r="T318" s="21"/>
      <c r="U318" s="21"/>
      <c r="V318" s="21"/>
      <c r="X318" s="11"/>
      <c r="Y318" s="43"/>
    </row>
    <row r="319" spans="6:25" x14ac:dyDescent="0.25">
      <c r="F319" s="9"/>
      <c r="P319" s="9"/>
      <c r="Q319" s="8"/>
      <c r="R319" s="20"/>
      <c r="S319" s="20"/>
      <c r="T319" s="21"/>
      <c r="U319" s="21"/>
      <c r="V319" s="21"/>
      <c r="X319" s="11"/>
      <c r="Y319" s="43"/>
    </row>
    <row r="320" spans="6:25" x14ac:dyDescent="0.25">
      <c r="F320" s="9"/>
      <c r="P320" s="9"/>
      <c r="Q320" s="8"/>
      <c r="R320" s="20"/>
      <c r="S320" s="20"/>
      <c r="T320" s="21"/>
      <c r="U320" s="21"/>
      <c r="V320" s="21"/>
      <c r="X320" s="11"/>
      <c r="Y320" s="43"/>
    </row>
    <row r="321" spans="6:25" x14ac:dyDescent="0.25">
      <c r="F321" s="9"/>
      <c r="P321" s="9"/>
      <c r="Q321" s="8"/>
      <c r="R321" s="20"/>
      <c r="S321" s="20"/>
      <c r="T321" s="21"/>
      <c r="U321" s="21"/>
      <c r="V321" s="21"/>
      <c r="X321" s="11"/>
      <c r="Y321" s="43"/>
    </row>
    <row r="322" spans="6:25" x14ac:dyDescent="0.25">
      <c r="F322" s="9"/>
      <c r="P322" s="9"/>
      <c r="Q322" s="8"/>
      <c r="R322" s="20"/>
      <c r="S322" s="20"/>
      <c r="T322" s="21"/>
      <c r="U322" s="21"/>
      <c r="V322" s="21"/>
      <c r="X322" s="11"/>
      <c r="Y322" s="43"/>
    </row>
    <row r="323" spans="6:25" x14ac:dyDescent="0.25">
      <c r="F323" s="9"/>
      <c r="P323" s="9"/>
      <c r="Q323" s="8"/>
      <c r="R323" s="20"/>
      <c r="S323" s="20"/>
      <c r="T323" s="21"/>
      <c r="U323" s="21"/>
      <c r="V323" s="21"/>
      <c r="X323" s="11"/>
      <c r="Y323" s="43"/>
    </row>
    <row r="324" spans="6:25" x14ac:dyDescent="0.25">
      <c r="F324" s="9"/>
      <c r="J324"/>
      <c r="P324" s="9"/>
      <c r="Q324" s="8"/>
      <c r="R324" s="8"/>
      <c r="S324" s="8"/>
      <c r="T324" s="10"/>
      <c r="U324" s="10"/>
      <c r="V324" s="10"/>
      <c r="W324" s="22"/>
      <c r="X324" s="11"/>
    </row>
    <row r="325" spans="6:25" x14ac:dyDescent="0.25">
      <c r="F325" s="9"/>
      <c r="J325"/>
      <c r="P325" s="9"/>
      <c r="Q325" s="8"/>
      <c r="R325" s="8"/>
      <c r="S325" s="8"/>
      <c r="T325" s="10"/>
      <c r="U325" s="10"/>
      <c r="V325" s="10"/>
      <c r="W325" s="22"/>
      <c r="X325" s="11"/>
    </row>
    <row r="326" spans="6:25" x14ac:dyDescent="0.25">
      <c r="F326" s="9"/>
      <c r="J326"/>
      <c r="P326" s="9"/>
      <c r="Q326" s="8"/>
      <c r="R326" s="8"/>
      <c r="S326" s="8"/>
      <c r="T326" s="10"/>
      <c r="U326" s="10"/>
      <c r="V326" s="10"/>
      <c r="W326" s="22"/>
      <c r="X326" s="11"/>
    </row>
    <row r="327" spans="6:25" x14ac:dyDescent="0.25">
      <c r="F327" s="9"/>
      <c r="J327"/>
      <c r="P327" s="9"/>
      <c r="Q327" s="8"/>
      <c r="R327" s="8"/>
      <c r="S327" s="8"/>
      <c r="T327" s="10"/>
      <c r="U327" s="10"/>
      <c r="V327" s="10"/>
      <c r="W327" s="22"/>
      <c r="X327" s="11"/>
    </row>
    <row r="328" spans="6:25" x14ac:dyDescent="0.25">
      <c r="F328" s="9"/>
      <c r="J328"/>
      <c r="K328"/>
      <c r="P328" s="9"/>
      <c r="Q328" s="8"/>
      <c r="R328" s="8"/>
      <c r="S328" s="8"/>
      <c r="T328" s="10"/>
      <c r="U328" s="10"/>
      <c r="V328" s="10"/>
      <c r="X328" s="11"/>
      <c r="Y328" s="43"/>
    </row>
    <row r="329" spans="6:25" x14ac:dyDescent="0.25">
      <c r="F329" s="9"/>
      <c r="J329"/>
      <c r="K329"/>
      <c r="P329" s="9"/>
      <c r="Q329" s="8"/>
      <c r="R329" s="8"/>
      <c r="S329" s="8"/>
      <c r="T329" s="10"/>
      <c r="U329" s="10"/>
      <c r="V329" s="10"/>
      <c r="X329" s="11"/>
      <c r="Y329" s="43"/>
    </row>
    <row r="330" spans="6:25" x14ac:dyDescent="0.25">
      <c r="F330" s="9"/>
      <c r="J330"/>
      <c r="K330"/>
      <c r="P330" s="9"/>
      <c r="Q330" s="8"/>
      <c r="R330" s="8"/>
      <c r="S330" s="8"/>
      <c r="T330" s="10"/>
      <c r="U330" s="10"/>
      <c r="V330" s="10"/>
      <c r="X330" s="11"/>
      <c r="Y330" s="43"/>
    </row>
    <row r="331" spans="6:25" x14ac:dyDescent="0.25">
      <c r="F331" s="9"/>
      <c r="J331"/>
      <c r="K331"/>
      <c r="P331" s="9"/>
      <c r="Q331" s="8"/>
      <c r="R331" s="8"/>
      <c r="S331" s="8"/>
      <c r="T331" s="10"/>
      <c r="U331" s="10"/>
      <c r="V331" s="10"/>
      <c r="X331" s="11"/>
      <c r="Y331" s="43"/>
    </row>
    <row r="332" spans="6:25" x14ac:dyDescent="0.25">
      <c r="F332" s="9"/>
      <c r="J332"/>
      <c r="K332"/>
      <c r="P332" s="9"/>
      <c r="Q332" s="8"/>
      <c r="R332" s="8"/>
      <c r="S332" s="8"/>
      <c r="T332" s="10"/>
      <c r="U332" s="10"/>
      <c r="V332" s="10"/>
      <c r="X332" s="11"/>
      <c r="Y332" s="43"/>
    </row>
    <row r="333" spans="6:25" x14ac:dyDescent="0.25">
      <c r="F333" s="9"/>
      <c r="J333"/>
      <c r="K333"/>
      <c r="P333" s="9"/>
      <c r="Q333" s="8"/>
      <c r="R333" s="8"/>
      <c r="S333" s="8"/>
      <c r="T333" s="10"/>
      <c r="U333" s="10"/>
      <c r="V333" s="10"/>
      <c r="X333" s="11"/>
      <c r="Y333" s="43"/>
    </row>
    <row r="334" spans="6:25" x14ac:dyDescent="0.25">
      <c r="F334" s="9"/>
      <c r="K334"/>
      <c r="P334" s="9"/>
      <c r="Q334" s="8"/>
      <c r="R334" s="8"/>
      <c r="S334" s="8"/>
      <c r="T334" s="10"/>
      <c r="U334" s="10"/>
      <c r="V334" s="10"/>
      <c r="W334" s="7"/>
      <c r="X334" s="11"/>
      <c r="Y334" s="43"/>
    </row>
    <row r="335" spans="6:25" x14ac:dyDescent="0.25">
      <c r="F335" s="9"/>
      <c r="K335"/>
      <c r="P335" s="9"/>
      <c r="Q335" s="8"/>
      <c r="R335" s="8"/>
      <c r="S335" s="8"/>
      <c r="T335" s="10"/>
      <c r="U335" s="10"/>
      <c r="V335" s="10"/>
      <c r="W335" s="7"/>
      <c r="X335" s="11"/>
      <c r="Y335" s="43"/>
    </row>
    <row r="336" spans="6:25" x14ac:dyDescent="0.25">
      <c r="F336" s="9"/>
      <c r="K336"/>
      <c r="P336" s="9"/>
      <c r="Q336" s="8"/>
      <c r="R336" s="8"/>
      <c r="S336" s="8"/>
      <c r="T336" s="10"/>
      <c r="U336" s="10"/>
      <c r="V336" s="10"/>
      <c r="W336" s="7"/>
      <c r="X336" s="11"/>
      <c r="Y336" s="43"/>
    </row>
    <row r="337" spans="6:25" x14ac:dyDescent="0.25">
      <c r="F337" s="9"/>
      <c r="K337"/>
      <c r="P337" s="9"/>
      <c r="Q337" s="8"/>
      <c r="R337" s="8"/>
      <c r="S337" s="8"/>
      <c r="T337" s="10"/>
      <c r="U337" s="10"/>
      <c r="V337" s="10"/>
      <c r="W337" s="7"/>
      <c r="X337" s="11"/>
      <c r="Y337" s="43"/>
    </row>
    <row r="338" spans="6:25" x14ac:dyDescent="0.25">
      <c r="F338" s="9"/>
      <c r="K338"/>
      <c r="P338" s="9"/>
      <c r="Q338" s="8"/>
      <c r="R338" s="8"/>
      <c r="S338" s="8"/>
      <c r="T338" s="10"/>
      <c r="U338" s="10"/>
      <c r="V338" s="10"/>
      <c r="W338" s="7"/>
      <c r="X338" s="11"/>
      <c r="Y338" s="43"/>
    </row>
    <row r="339" spans="6:25" x14ac:dyDescent="0.25">
      <c r="F339" s="9"/>
      <c r="K339"/>
      <c r="P339" s="9"/>
      <c r="Q339" s="8"/>
      <c r="R339" s="8"/>
      <c r="S339" s="8"/>
      <c r="T339" s="10"/>
      <c r="U339" s="10"/>
      <c r="V339" s="10"/>
      <c r="W339" s="7"/>
      <c r="X339" s="11"/>
      <c r="Y339" s="43"/>
    </row>
    <row r="340" spans="6:25" x14ac:dyDescent="0.25">
      <c r="F340" s="9"/>
      <c r="K340"/>
      <c r="P340" s="9"/>
      <c r="Q340" s="8"/>
      <c r="R340" s="8"/>
      <c r="S340" s="8"/>
      <c r="T340" s="10"/>
      <c r="U340" s="10"/>
      <c r="V340" s="10"/>
      <c r="W340" s="7"/>
      <c r="X340" s="11"/>
      <c r="Y340" s="43"/>
    </row>
    <row r="341" spans="6:25" x14ac:dyDescent="0.25">
      <c r="F341" s="9"/>
      <c r="K341"/>
      <c r="P341" s="9"/>
      <c r="Q341" s="8"/>
      <c r="R341" s="8"/>
      <c r="S341" s="8"/>
      <c r="T341" s="10"/>
      <c r="U341" s="10"/>
      <c r="V341" s="10"/>
      <c r="W341" s="7"/>
      <c r="X341" s="11"/>
      <c r="Y341" s="43"/>
    </row>
    <row r="342" spans="6:25" x14ac:dyDescent="0.25">
      <c r="F342" s="9"/>
      <c r="K342"/>
      <c r="P342" s="9"/>
      <c r="Q342" s="8"/>
      <c r="R342" s="8"/>
      <c r="S342" s="8"/>
      <c r="T342" s="10"/>
      <c r="U342" s="10"/>
      <c r="V342" s="10"/>
      <c r="W342" s="7"/>
      <c r="X342" s="11"/>
      <c r="Y342" s="43"/>
    </row>
    <row r="343" spans="6:25" x14ac:dyDescent="0.25">
      <c r="F343" s="9"/>
      <c r="K343"/>
      <c r="P343" s="9"/>
      <c r="Q343" s="8"/>
      <c r="R343" s="8"/>
      <c r="S343" s="8"/>
      <c r="T343" s="10"/>
      <c r="U343" s="10"/>
      <c r="V343" s="10"/>
      <c r="W343" s="7"/>
      <c r="X343" s="11"/>
      <c r="Y343" s="43"/>
    </row>
    <row r="344" spans="6:25" x14ac:dyDescent="0.25">
      <c r="F344" s="9"/>
      <c r="K344"/>
      <c r="P344" s="9"/>
      <c r="Q344" s="8"/>
      <c r="R344" s="8"/>
      <c r="S344" s="8"/>
      <c r="T344" s="10"/>
      <c r="U344" s="10"/>
      <c r="V344" s="10"/>
      <c r="W344" s="7"/>
      <c r="X344" s="11"/>
      <c r="Y344" s="43"/>
    </row>
    <row r="345" spans="6:25" x14ac:dyDescent="0.25">
      <c r="F345" s="9"/>
      <c r="K345"/>
      <c r="P345" s="9"/>
      <c r="Q345" s="8"/>
      <c r="R345" s="8"/>
      <c r="S345" s="8"/>
      <c r="T345" s="10"/>
      <c r="U345" s="10"/>
      <c r="V345" s="10"/>
      <c r="W345" s="7"/>
      <c r="X345" s="11"/>
      <c r="Y345" s="43"/>
    </row>
    <row r="346" spans="6:25" x14ac:dyDescent="0.25">
      <c r="F346" s="9"/>
      <c r="K346"/>
      <c r="P346" s="9"/>
      <c r="Q346" s="8"/>
      <c r="R346" s="8"/>
      <c r="S346" s="8"/>
      <c r="T346" s="10"/>
      <c r="U346" s="10"/>
      <c r="V346" s="10"/>
      <c r="W346" s="7"/>
      <c r="X346" s="11"/>
      <c r="Y346" s="43"/>
    </row>
    <row r="347" spans="6:25" x14ac:dyDescent="0.25">
      <c r="F347" s="9"/>
      <c r="K347"/>
      <c r="P347" s="9"/>
      <c r="Q347" s="8"/>
      <c r="R347" s="8"/>
      <c r="S347" s="8"/>
      <c r="T347" s="10"/>
      <c r="U347" s="10"/>
      <c r="V347" s="10"/>
      <c r="W347" s="7"/>
      <c r="X347" s="11"/>
      <c r="Y347" s="43"/>
    </row>
    <row r="348" spans="6:25" x14ac:dyDescent="0.25">
      <c r="F348" s="9"/>
      <c r="K348"/>
      <c r="P348" s="9"/>
      <c r="Q348" s="8"/>
      <c r="R348" s="8"/>
      <c r="S348" s="8"/>
      <c r="T348" s="10"/>
      <c r="U348" s="10"/>
      <c r="V348" s="10"/>
      <c r="W348" s="7"/>
      <c r="X348" s="11"/>
      <c r="Y348" s="43"/>
    </row>
    <row r="349" spans="6:25" x14ac:dyDescent="0.25">
      <c r="F349" s="9"/>
      <c r="K349"/>
      <c r="P349" s="9"/>
      <c r="Q349" s="8"/>
      <c r="R349" s="8"/>
      <c r="S349" s="8"/>
      <c r="T349" s="10"/>
      <c r="U349" s="10"/>
      <c r="V349" s="10"/>
      <c r="W349" s="7"/>
      <c r="X349" s="11"/>
      <c r="Y349" s="43"/>
    </row>
    <row r="350" spans="6:25" x14ac:dyDescent="0.25">
      <c r="F350" s="9"/>
      <c r="K350"/>
      <c r="P350" s="9"/>
      <c r="Q350" s="8"/>
      <c r="R350" s="8"/>
      <c r="S350" s="8"/>
      <c r="T350" s="10"/>
      <c r="U350" s="10"/>
      <c r="V350" s="10"/>
      <c r="W350" s="7"/>
      <c r="X350" s="11"/>
      <c r="Y350" s="43"/>
    </row>
    <row r="351" spans="6:25" x14ac:dyDescent="0.25">
      <c r="F351" s="9"/>
      <c r="K351"/>
      <c r="P351" s="9"/>
      <c r="Q351" s="8"/>
      <c r="R351" s="8"/>
      <c r="S351" s="8"/>
      <c r="T351" s="10"/>
      <c r="U351" s="10"/>
      <c r="V351" s="10"/>
      <c r="W351" s="7"/>
      <c r="X351" s="11"/>
      <c r="Y351" s="43"/>
    </row>
    <row r="352" spans="6:25" x14ac:dyDescent="0.25">
      <c r="F352" s="9"/>
      <c r="G352"/>
      <c r="H352"/>
      <c r="J352"/>
      <c r="K352"/>
      <c r="P352" s="17"/>
      <c r="Q352" s="17"/>
      <c r="R352" s="8"/>
      <c r="S352" s="8"/>
      <c r="T352" s="10"/>
      <c r="U352" s="10"/>
      <c r="V352" s="10"/>
      <c r="W352" s="22"/>
      <c r="X352" s="11"/>
    </row>
    <row r="353" spans="6:25" x14ac:dyDescent="0.25">
      <c r="F353" s="9"/>
      <c r="G353"/>
      <c r="H353"/>
      <c r="J353"/>
      <c r="K353"/>
      <c r="P353" s="9"/>
      <c r="Q353" s="8"/>
      <c r="R353" s="8"/>
      <c r="S353" s="8"/>
      <c r="T353" s="10"/>
      <c r="U353" s="10"/>
      <c r="V353" s="10"/>
      <c r="W353" s="7"/>
      <c r="X353" s="11"/>
      <c r="Y353" s="43"/>
    </row>
    <row r="354" spans="6:25" x14ac:dyDescent="0.25">
      <c r="F354" s="9"/>
      <c r="G354"/>
      <c r="H354"/>
      <c r="J354"/>
      <c r="K354"/>
      <c r="P354" s="9"/>
      <c r="Q354" s="8"/>
      <c r="R354" s="8"/>
      <c r="S354" s="8"/>
      <c r="T354" s="10"/>
      <c r="U354" s="10"/>
      <c r="V354" s="10"/>
      <c r="W354" s="7"/>
      <c r="X354" s="11"/>
      <c r="Y354" s="43"/>
    </row>
    <row r="355" spans="6:25" x14ac:dyDescent="0.25">
      <c r="F355" s="9"/>
      <c r="G355"/>
      <c r="H355"/>
      <c r="J355"/>
      <c r="K355"/>
      <c r="P355" s="9"/>
      <c r="Q355" s="8"/>
      <c r="R355" s="8"/>
      <c r="S355" s="8"/>
      <c r="T355" s="10"/>
      <c r="U355" s="10"/>
      <c r="V355" s="10"/>
      <c r="W355" s="7"/>
      <c r="X355" s="11"/>
      <c r="Y355" s="43"/>
    </row>
    <row r="356" spans="6:25" x14ac:dyDescent="0.25">
      <c r="F356" s="9"/>
      <c r="G356"/>
      <c r="H356"/>
      <c r="J356"/>
      <c r="K356"/>
      <c r="P356" s="9"/>
      <c r="Q356" s="8"/>
      <c r="R356" s="8"/>
      <c r="S356" s="8"/>
      <c r="T356" s="10"/>
      <c r="U356" s="10"/>
      <c r="V356" s="10"/>
      <c r="W356" s="7"/>
      <c r="X356" s="11"/>
      <c r="Y356" s="43"/>
    </row>
    <row r="357" spans="6:25" x14ac:dyDescent="0.25">
      <c r="F357" s="9"/>
      <c r="G357"/>
      <c r="H357"/>
      <c r="J357"/>
      <c r="K357"/>
      <c r="P357" s="9"/>
      <c r="Q357" s="8"/>
      <c r="R357" s="8"/>
      <c r="S357" s="8"/>
      <c r="T357" s="10"/>
      <c r="U357" s="10"/>
      <c r="V357" s="10"/>
      <c r="W357" s="7"/>
      <c r="X357" s="11"/>
      <c r="Y357" s="43"/>
    </row>
    <row r="358" spans="6:25" x14ac:dyDescent="0.25">
      <c r="F358" s="9"/>
      <c r="G358"/>
      <c r="H358"/>
      <c r="J358"/>
      <c r="K358"/>
      <c r="P358" s="9"/>
      <c r="Q358" s="8"/>
      <c r="R358" s="8"/>
      <c r="S358" s="8"/>
      <c r="T358" s="10"/>
      <c r="U358" s="10"/>
      <c r="V358" s="10"/>
      <c r="W358" s="7"/>
      <c r="X358" s="11"/>
      <c r="Y358" s="43"/>
    </row>
    <row r="359" spans="6:25" x14ac:dyDescent="0.25">
      <c r="F359" s="9"/>
      <c r="G359"/>
      <c r="H359"/>
      <c r="J359"/>
      <c r="K359"/>
      <c r="P359" s="9"/>
      <c r="Q359" s="8"/>
      <c r="R359" s="8"/>
      <c r="S359" s="8"/>
      <c r="T359" s="10"/>
      <c r="U359" s="10"/>
      <c r="V359" s="10"/>
      <c r="W359" s="7"/>
      <c r="X359" s="11"/>
      <c r="Y359" s="43"/>
    </row>
    <row r="360" spans="6:25" x14ac:dyDescent="0.25">
      <c r="F360" s="9"/>
      <c r="G360"/>
      <c r="H360"/>
      <c r="J360"/>
      <c r="K360"/>
      <c r="P360" s="9"/>
      <c r="Q360" s="8"/>
      <c r="R360" s="8"/>
      <c r="S360" s="8"/>
      <c r="T360" s="10"/>
      <c r="U360" s="10"/>
      <c r="V360" s="10"/>
      <c r="W360" s="7"/>
      <c r="X360" s="11"/>
      <c r="Y360" s="43"/>
    </row>
    <row r="361" spans="6:25" x14ac:dyDescent="0.25">
      <c r="F361" s="9"/>
      <c r="G361"/>
      <c r="H361"/>
      <c r="J361"/>
      <c r="K361"/>
      <c r="P361" s="9"/>
      <c r="Q361" s="8"/>
      <c r="R361" s="8"/>
      <c r="S361" s="8"/>
      <c r="T361" s="10"/>
      <c r="U361" s="10"/>
      <c r="V361" s="10"/>
      <c r="W361" s="7"/>
      <c r="X361" s="11"/>
      <c r="Y361" s="43"/>
    </row>
    <row r="362" spans="6:25" x14ac:dyDescent="0.25">
      <c r="F362" s="9"/>
      <c r="G362"/>
      <c r="H362"/>
      <c r="J362"/>
      <c r="K362"/>
      <c r="P362" s="9"/>
      <c r="Q362" s="8"/>
      <c r="R362" s="8"/>
      <c r="S362" s="8"/>
      <c r="T362" s="10"/>
      <c r="U362" s="10"/>
      <c r="V362" s="10"/>
      <c r="W362" s="7"/>
      <c r="X362" s="11"/>
      <c r="Y362" s="43"/>
    </row>
    <row r="363" spans="6:25" x14ac:dyDescent="0.25">
      <c r="F363" s="9"/>
      <c r="G363"/>
      <c r="H363"/>
      <c r="J363"/>
      <c r="K363"/>
      <c r="P363" s="9"/>
      <c r="Q363" s="8"/>
      <c r="R363" s="8"/>
      <c r="S363" s="8"/>
      <c r="T363" s="10"/>
      <c r="U363" s="10"/>
      <c r="V363" s="10"/>
      <c r="W363" s="7"/>
      <c r="X363" s="11"/>
      <c r="Y363" s="43"/>
    </row>
    <row r="364" spans="6:25" x14ac:dyDescent="0.25">
      <c r="F364" s="9"/>
      <c r="G364"/>
      <c r="H364"/>
      <c r="J364"/>
      <c r="K364"/>
      <c r="P364" s="9"/>
      <c r="Q364" s="8"/>
      <c r="R364" s="8"/>
      <c r="S364" s="8"/>
      <c r="T364" s="10"/>
      <c r="U364" s="10"/>
      <c r="V364" s="10"/>
      <c r="W364" s="7"/>
      <c r="X364" s="11"/>
      <c r="Y364" s="43"/>
    </row>
    <row r="365" spans="6:25" x14ac:dyDescent="0.25">
      <c r="F365" s="9"/>
      <c r="G365"/>
      <c r="H365"/>
      <c r="J365"/>
      <c r="K365"/>
      <c r="P365" s="9"/>
      <c r="Q365" s="8"/>
      <c r="R365" s="8"/>
      <c r="S365" s="8"/>
      <c r="T365" s="10"/>
      <c r="U365" s="10"/>
      <c r="V365" s="10"/>
      <c r="W365" s="7"/>
      <c r="X365" s="11"/>
      <c r="Y365" s="43"/>
    </row>
    <row r="366" spans="6:25" x14ac:dyDescent="0.25">
      <c r="F366" s="9"/>
      <c r="G366"/>
      <c r="H366"/>
      <c r="J366"/>
      <c r="K366"/>
      <c r="P366" s="9"/>
      <c r="Q366" s="8"/>
      <c r="R366" s="8"/>
      <c r="S366" s="8"/>
      <c r="T366" s="10"/>
      <c r="U366" s="10"/>
      <c r="V366" s="10"/>
      <c r="W366" s="7"/>
      <c r="X366" s="11"/>
      <c r="Y366" s="43"/>
    </row>
    <row r="367" spans="6:25" x14ac:dyDescent="0.25">
      <c r="F367" s="9"/>
      <c r="G367"/>
      <c r="H367"/>
      <c r="J367"/>
      <c r="K367"/>
      <c r="P367" s="9"/>
      <c r="Q367" s="8"/>
      <c r="R367" s="8"/>
      <c r="S367" s="8"/>
      <c r="T367" s="10"/>
      <c r="U367" s="10"/>
      <c r="V367" s="10"/>
      <c r="W367" s="7"/>
      <c r="X367" s="11"/>
      <c r="Y367" s="43"/>
    </row>
    <row r="368" spans="6:25" x14ac:dyDescent="0.25">
      <c r="F368" s="9"/>
      <c r="G368"/>
      <c r="H368"/>
      <c r="J368"/>
      <c r="K368"/>
      <c r="P368" s="9"/>
      <c r="Q368" s="8"/>
      <c r="R368" s="8"/>
      <c r="S368" s="8"/>
      <c r="T368" s="10"/>
      <c r="U368" s="10"/>
      <c r="V368" s="10"/>
      <c r="W368" s="7"/>
      <c r="X368" s="11"/>
      <c r="Y368" s="43"/>
    </row>
    <row r="369" spans="6:25" x14ac:dyDescent="0.25">
      <c r="F369" s="9"/>
      <c r="G369"/>
      <c r="H369"/>
      <c r="J369"/>
      <c r="K369"/>
      <c r="P369" s="9"/>
      <c r="Q369" s="8"/>
      <c r="R369" s="8"/>
      <c r="S369" s="8"/>
      <c r="T369" s="10"/>
      <c r="U369" s="10"/>
      <c r="V369" s="10"/>
      <c r="W369" s="7"/>
      <c r="X369" s="11"/>
      <c r="Y369" s="43"/>
    </row>
    <row r="370" spans="6:25" x14ac:dyDescent="0.25">
      <c r="F370" s="9"/>
      <c r="G370"/>
      <c r="H370"/>
      <c r="J370"/>
      <c r="K370"/>
      <c r="P370" s="9"/>
      <c r="Q370" s="8"/>
      <c r="R370" s="8"/>
      <c r="S370" s="8"/>
      <c r="T370" s="10"/>
      <c r="U370" s="10"/>
      <c r="V370" s="10"/>
      <c r="W370" s="7"/>
      <c r="X370" s="11"/>
      <c r="Y370" s="43"/>
    </row>
    <row r="371" spans="6:25" x14ac:dyDescent="0.25">
      <c r="F371" s="9"/>
      <c r="G371"/>
      <c r="H371"/>
      <c r="J371"/>
      <c r="K371"/>
      <c r="P371" s="9"/>
      <c r="Q371" s="8"/>
      <c r="R371" s="8"/>
      <c r="S371" s="8"/>
      <c r="T371" s="10"/>
      <c r="U371" s="10"/>
      <c r="V371" s="10"/>
      <c r="W371" s="7"/>
      <c r="X371" s="11"/>
      <c r="Y371" s="43"/>
    </row>
    <row r="372" spans="6:25" x14ac:dyDescent="0.25">
      <c r="F372" s="9"/>
      <c r="G372"/>
      <c r="H372"/>
      <c r="J372"/>
      <c r="K372"/>
      <c r="P372" s="9"/>
      <c r="Q372" s="8"/>
      <c r="R372" s="8"/>
      <c r="S372" s="8"/>
      <c r="T372" s="10"/>
      <c r="U372" s="10"/>
      <c r="V372" s="10"/>
      <c r="W372" s="7"/>
      <c r="X372" s="11"/>
      <c r="Y372" s="43"/>
    </row>
    <row r="373" spans="6:25" x14ac:dyDescent="0.25">
      <c r="F373" s="9"/>
      <c r="G373"/>
      <c r="H373"/>
      <c r="J373"/>
      <c r="K373"/>
      <c r="P373" s="9"/>
      <c r="Q373" s="8"/>
      <c r="R373" s="8"/>
      <c r="S373" s="8"/>
      <c r="T373" s="10"/>
      <c r="U373" s="10"/>
      <c r="V373" s="10"/>
      <c r="W373" s="7"/>
      <c r="X373" s="11"/>
      <c r="Y373" s="43"/>
    </row>
    <row r="374" spans="6:25" x14ac:dyDescent="0.25">
      <c r="F374" s="9"/>
      <c r="G374"/>
      <c r="H374"/>
      <c r="J374"/>
      <c r="K374"/>
      <c r="P374" s="9"/>
      <c r="Q374" s="8"/>
      <c r="R374" s="8"/>
      <c r="S374" s="8"/>
      <c r="T374" s="10"/>
      <c r="U374" s="10"/>
      <c r="V374" s="10"/>
      <c r="W374" s="7"/>
      <c r="X374" s="11"/>
      <c r="Y374" s="43"/>
    </row>
    <row r="375" spans="6:25" x14ac:dyDescent="0.25">
      <c r="F375" s="9"/>
      <c r="G375"/>
      <c r="H375"/>
      <c r="J375"/>
      <c r="K375"/>
      <c r="P375" s="9"/>
      <c r="Q375" s="8"/>
      <c r="R375" s="8"/>
      <c r="S375" s="8"/>
      <c r="T375" s="10"/>
      <c r="U375" s="10"/>
      <c r="V375" s="10"/>
      <c r="W375" s="7"/>
      <c r="X375" s="11"/>
      <c r="Y375" s="43"/>
    </row>
    <row r="376" spans="6:25" x14ac:dyDescent="0.25">
      <c r="F376" s="9"/>
      <c r="G376"/>
      <c r="H376"/>
      <c r="J376"/>
      <c r="K376"/>
      <c r="P376" s="9"/>
      <c r="Q376" s="8"/>
      <c r="R376" s="8"/>
      <c r="S376" s="8"/>
      <c r="T376" s="10"/>
      <c r="U376" s="10"/>
      <c r="V376" s="10"/>
      <c r="W376" s="7"/>
      <c r="X376" s="11"/>
      <c r="Y376" s="43"/>
    </row>
    <row r="377" spans="6:25" x14ac:dyDescent="0.25">
      <c r="F377" s="9"/>
      <c r="G377"/>
      <c r="H377"/>
      <c r="J377"/>
      <c r="K377"/>
      <c r="P377" s="9"/>
      <c r="Q377" s="8"/>
      <c r="R377" s="8"/>
      <c r="S377" s="8"/>
      <c r="T377" s="10"/>
      <c r="U377" s="10"/>
      <c r="V377" s="10"/>
      <c r="W377" s="7"/>
      <c r="X377" s="11"/>
      <c r="Y377" s="43"/>
    </row>
    <row r="378" spans="6:25" x14ac:dyDescent="0.25">
      <c r="F378" s="9"/>
      <c r="G378"/>
      <c r="H378"/>
      <c r="J378"/>
      <c r="K378"/>
      <c r="P378" s="9"/>
      <c r="Q378" s="8"/>
      <c r="R378" s="8"/>
      <c r="S378" s="8"/>
      <c r="T378" s="10"/>
      <c r="U378" s="10"/>
      <c r="V378" s="10"/>
      <c r="W378" s="22"/>
      <c r="X378" s="11"/>
    </row>
    <row r="379" spans="6:25" x14ac:dyDescent="0.25">
      <c r="F379" s="9"/>
      <c r="G379"/>
      <c r="H379"/>
      <c r="J379"/>
      <c r="K379"/>
      <c r="P379" s="9"/>
      <c r="Q379" s="8"/>
      <c r="R379" s="8"/>
      <c r="S379" s="8"/>
      <c r="T379" s="10"/>
      <c r="U379" s="10"/>
      <c r="V379" s="10"/>
      <c r="W379" s="22"/>
      <c r="X379" s="11"/>
    </row>
    <row r="380" spans="6:25" x14ac:dyDescent="0.25">
      <c r="F380" s="9"/>
      <c r="G380"/>
      <c r="H380"/>
      <c r="J380"/>
      <c r="K380"/>
      <c r="P380" s="9"/>
      <c r="Q380" s="8"/>
      <c r="R380" s="8"/>
      <c r="S380" s="8"/>
      <c r="T380" s="10"/>
      <c r="U380" s="10"/>
      <c r="V380" s="10"/>
      <c r="W380" s="22"/>
      <c r="X380" s="11"/>
    </row>
    <row r="381" spans="6:25" x14ac:dyDescent="0.25">
      <c r="F381" s="9"/>
      <c r="G381"/>
      <c r="H381"/>
      <c r="J381"/>
      <c r="K381"/>
      <c r="P381" s="9"/>
      <c r="Q381" s="8"/>
      <c r="R381" s="8"/>
      <c r="S381" s="8"/>
      <c r="T381" s="10"/>
      <c r="U381" s="10"/>
      <c r="V381" s="10"/>
      <c r="W381" s="22"/>
      <c r="X381" s="11"/>
    </row>
    <row r="382" spans="6:25" x14ac:dyDescent="0.25">
      <c r="F382" s="9"/>
      <c r="G382"/>
      <c r="H382"/>
      <c r="J382"/>
      <c r="K382"/>
      <c r="P382" s="9"/>
      <c r="Q382" s="8"/>
      <c r="R382" s="8"/>
      <c r="S382" s="8"/>
      <c r="T382" s="10"/>
      <c r="U382" s="10"/>
      <c r="V382" s="10"/>
      <c r="W382" s="22"/>
      <c r="X382" s="11"/>
    </row>
    <row r="383" spans="6:25" x14ac:dyDescent="0.25">
      <c r="F383" s="9"/>
      <c r="G383"/>
      <c r="H383"/>
      <c r="J383"/>
      <c r="K383"/>
      <c r="P383" s="9"/>
      <c r="Q383" s="8"/>
      <c r="R383" s="8"/>
      <c r="S383" s="8"/>
      <c r="T383" s="10"/>
      <c r="U383" s="10"/>
      <c r="V383" s="10"/>
      <c r="W383" s="22"/>
      <c r="X383" s="11"/>
    </row>
    <row r="384" spans="6:25" x14ac:dyDescent="0.25">
      <c r="F384" s="9"/>
      <c r="G384"/>
      <c r="H384"/>
      <c r="J384"/>
      <c r="K384"/>
      <c r="P384" s="9"/>
      <c r="Q384" s="8"/>
      <c r="R384" s="8"/>
      <c r="S384" s="8"/>
      <c r="T384" s="10"/>
      <c r="U384" s="10"/>
      <c r="V384" s="10"/>
      <c r="W384" s="22"/>
      <c r="X384" s="11"/>
    </row>
    <row r="385" spans="6:25" x14ac:dyDescent="0.25">
      <c r="F385" s="9"/>
      <c r="G385"/>
      <c r="H385"/>
      <c r="J385"/>
      <c r="K385"/>
      <c r="P385" s="9"/>
      <c r="Q385" s="8"/>
      <c r="R385" s="8"/>
      <c r="S385" s="8"/>
      <c r="T385" s="10"/>
      <c r="U385" s="10"/>
      <c r="V385" s="10"/>
      <c r="W385" s="22"/>
      <c r="X385" s="11"/>
    </row>
    <row r="386" spans="6:25" x14ac:dyDescent="0.25">
      <c r="F386" s="9"/>
      <c r="G386"/>
      <c r="H386"/>
      <c r="J386"/>
      <c r="K386"/>
      <c r="P386" s="9"/>
      <c r="Q386" s="8"/>
      <c r="R386" s="8"/>
      <c r="S386" s="8"/>
      <c r="T386" s="10"/>
      <c r="U386" s="10"/>
      <c r="V386" s="10"/>
      <c r="W386" s="22"/>
      <c r="X386" s="11"/>
    </row>
    <row r="387" spans="6:25" x14ac:dyDescent="0.25">
      <c r="F387" s="9"/>
      <c r="G387"/>
      <c r="H387"/>
      <c r="J387"/>
      <c r="K387"/>
      <c r="P387" s="9"/>
      <c r="Q387" s="8"/>
      <c r="R387" s="8"/>
      <c r="S387" s="8"/>
      <c r="T387" s="10"/>
      <c r="U387" s="10"/>
      <c r="V387" s="10"/>
      <c r="W387" s="22"/>
      <c r="X387" s="11"/>
    </row>
    <row r="388" spans="6:25" x14ac:dyDescent="0.25">
      <c r="F388" s="9"/>
      <c r="G388"/>
      <c r="H388"/>
      <c r="J388"/>
      <c r="K388"/>
      <c r="P388" s="9"/>
      <c r="Q388" s="8"/>
      <c r="R388" s="8"/>
      <c r="S388" s="8"/>
      <c r="T388" s="10"/>
      <c r="U388" s="10"/>
      <c r="V388" s="10"/>
      <c r="W388" s="22"/>
      <c r="X388" s="11"/>
    </row>
    <row r="389" spans="6:25" x14ac:dyDescent="0.25">
      <c r="F389" s="9"/>
      <c r="G389"/>
      <c r="H389"/>
      <c r="J389"/>
      <c r="K389"/>
      <c r="P389" s="9"/>
      <c r="Q389" s="8"/>
      <c r="R389" s="8"/>
      <c r="S389" s="8"/>
      <c r="T389" s="10"/>
      <c r="U389" s="10"/>
      <c r="V389" s="10"/>
      <c r="W389" s="22"/>
      <c r="X389" s="11"/>
    </row>
    <row r="390" spans="6:25" x14ac:dyDescent="0.25">
      <c r="F390" s="9"/>
      <c r="G390"/>
      <c r="H390"/>
      <c r="J390"/>
      <c r="K390"/>
      <c r="P390" s="9"/>
      <c r="Q390" s="8"/>
      <c r="R390" s="8"/>
      <c r="S390" s="8"/>
      <c r="T390" s="10"/>
      <c r="U390" s="10"/>
      <c r="V390" s="10"/>
      <c r="W390" s="22"/>
      <c r="X390" s="11"/>
    </row>
    <row r="391" spans="6:25" x14ac:dyDescent="0.25">
      <c r="F391" s="9"/>
      <c r="G391"/>
      <c r="H391"/>
      <c r="J391"/>
      <c r="K391"/>
      <c r="P391" s="9"/>
      <c r="Q391" s="8"/>
      <c r="R391" s="8"/>
      <c r="S391" s="8"/>
      <c r="T391" s="10"/>
      <c r="U391" s="10"/>
      <c r="V391" s="10"/>
      <c r="W391" s="22"/>
      <c r="X391" s="11"/>
    </row>
    <row r="392" spans="6:25" x14ac:dyDescent="0.25">
      <c r="F392" s="9"/>
      <c r="G392"/>
      <c r="H392"/>
      <c r="J392"/>
      <c r="K392"/>
      <c r="P392" s="17"/>
      <c r="Q392" s="8"/>
      <c r="R392" s="8"/>
      <c r="S392" s="8"/>
      <c r="T392" s="10"/>
      <c r="U392" s="10"/>
      <c r="V392" s="10"/>
      <c r="X392" s="11"/>
      <c r="Y392" s="43"/>
    </row>
    <row r="393" spans="6:25" x14ac:dyDescent="0.25">
      <c r="F393" s="9"/>
      <c r="G393"/>
      <c r="H393"/>
      <c r="J393"/>
      <c r="K393"/>
      <c r="P393" s="9"/>
      <c r="Q393" s="8"/>
      <c r="R393" s="8"/>
      <c r="S393" s="8"/>
      <c r="T393" s="10"/>
      <c r="U393" s="10"/>
      <c r="V393" s="10"/>
      <c r="X393" s="11"/>
    </row>
    <row r="394" spans="6:25" x14ac:dyDescent="0.25">
      <c r="F394" s="9"/>
      <c r="G394"/>
      <c r="H394"/>
      <c r="J394"/>
      <c r="K394"/>
      <c r="P394" s="9"/>
      <c r="Q394" s="8"/>
      <c r="R394" s="8"/>
      <c r="S394" s="8"/>
      <c r="T394" s="10"/>
      <c r="U394" s="10"/>
      <c r="V394" s="10"/>
      <c r="X394" s="11"/>
    </row>
    <row r="395" spans="6:25" x14ac:dyDescent="0.25">
      <c r="F395" s="9"/>
      <c r="G395"/>
      <c r="H395"/>
      <c r="J395"/>
      <c r="K395"/>
      <c r="P395" s="9"/>
      <c r="Q395" s="8"/>
      <c r="R395" s="8"/>
      <c r="S395" s="8"/>
      <c r="T395" s="10"/>
      <c r="U395" s="10"/>
      <c r="V395" s="10"/>
      <c r="X395" s="11"/>
    </row>
    <row r="396" spans="6:25" x14ac:dyDescent="0.25">
      <c r="F396" s="9"/>
      <c r="G396"/>
      <c r="H396"/>
      <c r="J396"/>
      <c r="K396"/>
      <c r="P396" s="9"/>
      <c r="Q396" s="8"/>
      <c r="R396" s="8"/>
      <c r="S396" s="8"/>
      <c r="T396" s="10"/>
      <c r="U396" s="10"/>
      <c r="V396" s="10"/>
      <c r="X396" s="11"/>
    </row>
    <row r="397" spans="6:25" x14ac:dyDescent="0.25">
      <c r="F397" s="9"/>
      <c r="G397"/>
      <c r="H397"/>
      <c r="J397"/>
      <c r="K397"/>
      <c r="P397" s="9"/>
      <c r="Q397" s="8"/>
      <c r="R397" s="8"/>
      <c r="S397" s="8"/>
      <c r="T397" s="10"/>
      <c r="U397" s="10"/>
      <c r="V397" s="10"/>
      <c r="X397" s="11"/>
    </row>
    <row r="398" spans="6:25" x14ac:dyDescent="0.25">
      <c r="F398" s="9"/>
      <c r="G398"/>
      <c r="H398"/>
      <c r="J398"/>
      <c r="K398"/>
      <c r="P398" s="9"/>
      <c r="Q398" s="8"/>
      <c r="R398" s="8"/>
      <c r="S398" s="8"/>
      <c r="T398" s="10"/>
      <c r="U398" s="10"/>
      <c r="V398" s="10"/>
      <c r="X398" s="11"/>
    </row>
    <row r="399" spans="6:25" x14ac:dyDescent="0.25">
      <c r="F399" s="9"/>
      <c r="G399"/>
      <c r="H399"/>
      <c r="J399"/>
      <c r="K399"/>
      <c r="P399" s="9"/>
      <c r="Q399" s="8"/>
      <c r="R399" s="8"/>
      <c r="S399" s="8"/>
      <c r="T399" s="10"/>
      <c r="U399" s="10"/>
      <c r="V399" s="10"/>
      <c r="X399" s="11"/>
    </row>
    <row r="400" spans="6:25" x14ac:dyDescent="0.25">
      <c r="F400" s="9"/>
      <c r="G400"/>
      <c r="H400"/>
      <c r="J400"/>
      <c r="K400"/>
      <c r="P400" s="9"/>
      <c r="Q400" s="8"/>
      <c r="R400" s="8"/>
      <c r="S400" s="8"/>
      <c r="T400" s="10"/>
      <c r="U400" s="10"/>
      <c r="V400" s="10"/>
      <c r="X400" s="11"/>
    </row>
    <row r="401" spans="6:24" x14ac:dyDescent="0.25">
      <c r="F401" s="9"/>
      <c r="G401"/>
      <c r="H401"/>
      <c r="J401"/>
      <c r="K401"/>
      <c r="P401" s="9"/>
      <c r="Q401" s="8"/>
      <c r="R401" s="8"/>
      <c r="S401" s="8"/>
      <c r="T401" s="10"/>
      <c r="U401" s="10"/>
      <c r="V401" s="10"/>
      <c r="X401" s="11"/>
    </row>
    <row r="402" spans="6:24" x14ac:dyDescent="0.25">
      <c r="F402" s="9"/>
      <c r="G402"/>
      <c r="H402"/>
      <c r="J402"/>
      <c r="K402"/>
      <c r="P402" s="9"/>
      <c r="Q402" s="8"/>
      <c r="R402" s="8"/>
      <c r="S402" s="8"/>
      <c r="T402" s="10"/>
      <c r="U402" s="10"/>
      <c r="V402" s="10"/>
      <c r="X402" s="11"/>
    </row>
    <row r="403" spans="6:24" x14ac:dyDescent="0.25">
      <c r="F403" s="9"/>
      <c r="G403"/>
      <c r="H403"/>
      <c r="J403"/>
      <c r="K403"/>
      <c r="P403" s="9"/>
      <c r="Q403" s="8"/>
      <c r="R403" s="8"/>
      <c r="S403" s="8"/>
      <c r="T403" s="10"/>
      <c r="U403" s="10"/>
      <c r="V403" s="10"/>
      <c r="X403" s="11"/>
    </row>
    <row r="404" spans="6:24" x14ac:dyDescent="0.25">
      <c r="F404" s="9"/>
      <c r="G404"/>
      <c r="H404"/>
      <c r="J404"/>
      <c r="K404"/>
      <c r="P404" s="9"/>
      <c r="Q404" s="8"/>
      <c r="R404" s="8"/>
      <c r="S404" s="8"/>
      <c r="T404" s="10"/>
      <c r="U404" s="10"/>
      <c r="V404" s="10"/>
      <c r="X404" s="11"/>
    </row>
    <row r="405" spans="6:24" x14ac:dyDescent="0.25">
      <c r="F405" s="9"/>
      <c r="G405"/>
      <c r="H405"/>
      <c r="J405"/>
      <c r="K405"/>
      <c r="P405" s="9"/>
      <c r="Q405" s="8"/>
      <c r="R405" s="8"/>
      <c r="S405" s="8"/>
      <c r="T405" s="10"/>
      <c r="U405" s="10"/>
      <c r="V405" s="10"/>
      <c r="X405" s="11"/>
    </row>
    <row r="406" spans="6:24" x14ac:dyDescent="0.25">
      <c r="F406" s="9"/>
      <c r="G406"/>
      <c r="H406"/>
      <c r="J406"/>
      <c r="K406"/>
      <c r="P406" s="9"/>
      <c r="Q406" s="8"/>
      <c r="R406" s="8"/>
      <c r="S406" s="8"/>
      <c r="T406" s="10"/>
      <c r="U406" s="10"/>
      <c r="V406" s="10"/>
      <c r="X406" s="11"/>
    </row>
    <row r="407" spans="6:24" x14ac:dyDescent="0.25">
      <c r="F407" s="9"/>
      <c r="G407"/>
      <c r="H407"/>
      <c r="J407"/>
      <c r="K407"/>
      <c r="P407" s="9"/>
      <c r="Q407" s="8"/>
      <c r="R407" s="8"/>
      <c r="S407" s="8"/>
      <c r="T407" s="10"/>
      <c r="U407" s="10"/>
      <c r="V407" s="10"/>
      <c r="X407" s="11"/>
    </row>
    <row r="408" spans="6:24" x14ac:dyDescent="0.25">
      <c r="F408" s="9"/>
      <c r="G408"/>
      <c r="H408"/>
      <c r="J408"/>
      <c r="K408"/>
      <c r="P408" s="9"/>
      <c r="Q408" s="8"/>
      <c r="R408" s="8"/>
      <c r="S408" s="8"/>
      <c r="T408" s="10"/>
      <c r="U408" s="10"/>
      <c r="V408" s="10"/>
      <c r="X408" s="11"/>
    </row>
    <row r="409" spans="6:24" x14ac:dyDescent="0.25">
      <c r="F409" s="9"/>
      <c r="G409"/>
      <c r="H409"/>
      <c r="J409"/>
      <c r="K409"/>
      <c r="P409" s="9"/>
      <c r="Q409" s="8"/>
      <c r="R409" s="8"/>
      <c r="S409" s="8"/>
      <c r="T409" s="10"/>
      <c r="U409" s="10"/>
      <c r="V409" s="10"/>
      <c r="X409" s="11"/>
    </row>
    <row r="410" spans="6:24" x14ac:dyDescent="0.25">
      <c r="F410" s="9"/>
      <c r="G410"/>
      <c r="H410"/>
      <c r="J410"/>
      <c r="K410"/>
      <c r="P410" s="9"/>
      <c r="Q410" s="8"/>
      <c r="R410" s="8"/>
      <c r="S410" s="8"/>
      <c r="T410" s="10"/>
      <c r="U410" s="10"/>
      <c r="V410" s="10"/>
      <c r="X410" s="11"/>
    </row>
    <row r="411" spans="6:24" x14ac:dyDescent="0.25">
      <c r="F411" s="9"/>
      <c r="G411"/>
      <c r="H411"/>
      <c r="J411"/>
      <c r="K411"/>
      <c r="P411" s="9"/>
      <c r="Q411" s="8"/>
      <c r="R411" s="8"/>
      <c r="S411" s="8"/>
      <c r="T411" s="10"/>
      <c r="U411" s="10"/>
      <c r="V411" s="10"/>
      <c r="X411" s="11"/>
    </row>
    <row r="412" spans="6:24" x14ac:dyDescent="0.25">
      <c r="F412" s="9"/>
      <c r="G412"/>
      <c r="H412"/>
      <c r="J412"/>
      <c r="K412"/>
      <c r="P412" s="9"/>
      <c r="Q412" s="8"/>
      <c r="R412" s="8"/>
      <c r="S412" s="8"/>
      <c r="T412" s="10"/>
      <c r="U412" s="10"/>
      <c r="V412" s="10"/>
      <c r="X412" s="11"/>
    </row>
    <row r="413" spans="6:24" x14ac:dyDescent="0.25">
      <c r="F413" s="9"/>
      <c r="G413"/>
      <c r="H413"/>
      <c r="J413"/>
      <c r="K413"/>
      <c r="P413" s="9"/>
      <c r="Q413" s="8"/>
      <c r="R413" s="8"/>
      <c r="S413" s="8"/>
      <c r="T413" s="10"/>
      <c r="U413" s="10"/>
      <c r="V413" s="10"/>
      <c r="X413" s="11"/>
    </row>
    <row r="414" spans="6:24" x14ac:dyDescent="0.25">
      <c r="F414" s="9"/>
      <c r="G414"/>
      <c r="H414"/>
      <c r="J414"/>
      <c r="K414"/>
      <c r="P414" s="9"/>
      <c r="Q414" s="8"/>
      <c r="R414" s="8"/>
      <c r="S414" s="8"/>
      <c r="T414" s="10"/>
      <c r="U414" s="10"/>
      <c r="V414" s="10"/>
      <c r="X414" s="11"/>
    </row>
    <row r="415" spans="6:24" x14ac:dyDescent="0.25">
      <c r="F415" s="9"/>
      <c r="G415"/>
      <c r="H415"/>
      <c r="J415"/>
      <c r="K415"/>
      <c r="P415" s="9"/>
      <c r="Q415" s="8"/>
      <c r="R415" s="8"/>
      <c r="S415" s="8"/>
      <c r="T415" s="10"/>
      <c r="U415" s="10"/>
      <c r="V415" s="10"/>
      <c r="X415" s="11"/>
    </row>
    <row r="416" spans="6:24" x14ac:dyDescent="0.25">
      <c r="F416" s="9"/>
      <c r="G416"/>
      <c r="H416"/>
      <c r="J416"/>
      <c r="K416"/>
      <c r="P416" s="9"/>
      <c r="Q416" s="8"/>
      <c r="R416" s="8"/>
      <c r="S416" s="8"/>
      <c r="T416" s="10"/>
      <c r="U416" s="10"/>
      <c r="V416" s="10"/>
      <c r="X416" s="11"/>
    </row>
    <row r="417" spans="6:24" x14ac:dyDescent="0.25">
      <c r="F417" s="9"/>
      <c r="G417"/>
      <c r="H417"/>
      <c r="J417"/>
      <c r="K417"/>
      <c r="P417" s="9"/>
      <c r="Q417" s="8"/>
      <c r="R417" s="8"/>
      <c r="S417" s="8"/>
      <c r="T417" s="10"/>
      <c r="U417" s="10"/>
      <c r="V417" s="10"/>
      <c r="X417" s="11"/>
    </row>
    <row r="418" spans="6:24" x14ac:dyDescent="0.25">
      <c r="F418" s="9"/>
      <c r="G418"/>
      <c r="H418"/>
      <c r="J418"/>
      <c r="K418"/>
      <c r="P418" s="9"/>
      <c r="Q418" s="8"/>
      <c r="R418" s="8"/>
      <c r="S418" s="8"/>
      <c r="T418" s="10"/>
      <c r="U418" s="10"/>
      <c r="V418" s="10"/>
      <c r="X418" s="11"/>
    </row>
    <row r="419" spans="6:24" x14ac:dyDescent="0.25">
      <c r="F419" s="9"/>
      <c r="G419"/>
      <c r="H419"/>
      <c r="J419"/>
      <c r="K419"/>
      <c r="P419" s="9"/>
      <c r="Q419" s="8"/>
      <c r="R419" s="8"/>
      <c r="S419" s="8"/>
      <c r="T419" s="10"/>
      <c r="U419" s="10"/>
      <c r="V419" s="10"/>
      <c r="X419" s="11"/>
    </row>
    <row r="420" spans="6:24" x14ac:dyDescent="0.25">
      <c r="F420" s="9"/>
      <c r="G420"/>
      <c r="H420"/>
      <c r="J420"/>
      <c r="K420"/>
      <c r="P420" s="9"/>
      <c r="Q420" s="8"/>
      <c r="R420" s="8"/>
      <c r="S420" s="8"/>
      <c r="T420" s="10"/>
      <c r="U420" s="10"/>
      <c r="V420" s="10"/>
      <c r="X420" s="11"/>
    </row>
    <row r="421" spans="6:24" x14ac:dyDescent="0.25">
      <c r="F421" s="9"/>
      <c r="G421"/>
      <c r="H421"/>
      <c r="J421"/>
      <c r="K421"/>
      <c r="P421" s="9"/>
      <c r="Q421" s="8"/>
      <c r="R421" s="8"/>
      <c r="S421" s="8"/>
      <c r="T421" s="10"/>
      <c r="U421" s="10"/>
      <c r="V421" s="10"/>
      <c r="X421" s="11"/>
    </row>
    <row r="422" spans="6:24" x14ac:dyDescent="0.25">
      <c r="F422" s="9"/>
      <c r="G422"/>
      <c r="H422"/>
      <c r="J422"/>
      <c r="K422"/>
      <c r="P422" s="9"/>
      <c r="Q422" s="8"/>
      <c r="R422" s="8"/>
      <c r="S422" s="8"/>
      <c r="T422" s="10"/>
      <c r="U422" s="10"/>
      <c r="V422" s="10"/>
      <c r="X422" s="11"/>
    </row>
    <row r="423" spans="6:24" x14ac:dyDescent="0.25">
      <c r="F423" s="9"/>
      <c r="G423"/>
      <c r="H423"/>
      <c r="J423"/>
      <c r="K423"/>
      <c r="P423" s="9"/>
      <c r="Q423" s="8"/>
      <c r="R423" s="8"/>
      <c r="S423" s="8"/>
      <c r="T423" s="10"/>
      <c r="U423" s="10"/>
      <c r="V423" s="10"/>
      <c r="X423" s="11"/>
    </row>
    <row r="424" spans="6:24" x14ac:dyDescent="0.25">
      <c r="F424" s="9"/>
      <c r="G424"/>
      <c r="H424"/>
      <c r="J424"/>
      <c r="K424"/>
      <c r="P424" s="9"/>
      <c r="Q424" s="8"/>
      <c r="R424" s="8"/>
      <c r="S424" s="8"/>
      <c r="T424" s="10"/>
      <c r="U424" s="10"/>
      <c r="V424" s="10"/>
      <c r="X424" s="11"/>
    </row>
    <row r="425" spans="6:24" x14ac:dyDescent="0.25">
      <c r="F425" s="9"/>
      <c r="G425"/>
      <c r="H425"/>
      <c r="J425"/>
      <c r="K425"/>
      <c r="P425" s="9"/>
      <c r="Q425" s="8"/>
      <c r="R425" s="8"/>
      <c r="S425" s="8"/>
      <c r="T425" s="10"/>
      <c r="U425" s="10"/>
      <c r="V425" s="10"/>
      <c r="X425" s="11"/>
    </row>
    <row r="426" spans="6:24" x14ac:dyDescent="0.25">
      <c r="F426" s="9"/>
      <c r="G426"/>
      <c r="H426"/>
      <c r="J426"/>
      <c r="K426"/>
      <c r="P426" s="9"/>
      <c r="Q426" s="8"/>
      <c r="R426" s="8"/>
      <c r="S426" s="8"/>
      <c r="T426" s="10"/>
      <c r="U426" s="10"/>
      <c r="V426" s="10"/>
      <c r="X426" s="11"/>
    </row>
    <row r="427" spans="6:24" x14ac:dyDescent="0.25">
      <c r="F427" s="9"/>
      <c r="G427"/>
      <c r="H427"/>
      <c r="J427"/>
      <c r="K427"/>
      <c r="P427" s="9"/>
      <c r="Q427" s="8"/>
      <c r="R427" s="8"/>
      <c r="S427" s="8"/>
      <c r="T427" s="10"/>
      <c r="U427" s="10"/>
      <c r="V427" s="10"/>
      <c r="X427" s="11"/>
    </row>
    <row r="428" spans="6:24" x14ac:dyDescent="0.25">
      <c r="F428" s="9"/>
      <c r="G428"/>
      <c r="H428"/>
      <c r="J428"/>
      <c r="K428"/>
      <c r="P428" s="9"/>
      <c r="Q428" s="8"/>
      <c r="R428" s="8"/>
      <c r="S428" s="8"/>
      <c r="T428" s="10"/>
      <c r="U428" s="10"/>
      <c r="V428" s="10"/>
      <c r="X428" s="11"/>
    </row>
    <row r="429" spans="6:24" x14ac:dyDescent="0.25">
      <c r="F429" s="9"/>
      <c r="G429"/>
      <c r="H429"/>
      <c r="J429"/>
      <c r="K429"/>
      <c r="P429" s="9"/>
      <c r="Q429" s="8"/>
      <c r="R429" s="8"/>
      <c r="S429" s="8"/>
      <c r="T429" s="10"/>
      <c r="U429" s="10"/>
      <c r="V429" s="10"/>
      <c r="X429" s="11"/>
    </row>
    <row r="430" spans="6:24" x14ac:dyDescent="0.25">
      <c r="F430" s="9"/>
      <c r="G430"/>
      <c r="H430"/>
      <c r="J430"/>
      <c r="K430"/>
      <c r="P430" s="9"/>
      <c r="Q430" s="8"/>
      <c r="R430" s="8"/>
      <c r="S430" s="8"/>
      <c r="T430" s="10"/>
      <c r="U430" s="10"/>
      <c r="V430" s="10"/>
      <c r="X430" s="11"/>
    </row>
    <row r="431" spans="6:24" x14ac:dyDescent="0.25">
      <c r="F431" s="9"/>
      <c r="G431"/>
      <c r="H431"/>
      <c r="J431"/>
      <c r="K431"/>
      <c r="P431" s="9"/>
      <c r="Q431" s="8"/>
      <c r="R431" s="8"/>
      <c r="S431" s="8"/>
      <c r="T431" s="10"/>
      <c r="U431" s="10"/>
      <c r="V431" s="10"/>
      <c r="X431" s="11"/>
    </row>
    <row r="432" spans="6:24" x14ac:dyDescent="0.25">
      <c r="F432" s="9"/>
      <c r="G432"/>
      <c r="H432"/>
      <c r="J432"/>
      <c r="K432"/>
      <c r="P432" s="9"/>
      <c r="Q432" s="8"/>
      <c r="R432" s="8"/>
      <c r="S432" s="8"/>
      <c r="T432" s="10"/>
      <c r="U432" s="10"/>
      <c r="V432" s="10"/>
      <c r="X432" s="11"/>
    </row>
    <row r="433" spans="6:25" x14ac:dyDescent="0.25">
      <c r="F433" s="9"/>
      <c r="G433"/>
      <c r="H433"/>
      <c r="J433"/>
      <c r="K433"/>
      <c r="P433" s="9"/>
      <c r="Q433" s="8"/>
      <c r="R433" s="8"/>
      <c r="S433" s="8"/>
      <c r="T433" s="10"/>
      <c r="U433" s="10"/>
      <c r="V433" s="10"/>
      <c r="X433" s="11"/>
    </row>
    <row r="434" spans="6:25" x14ac:dyDescent="0.25">
      <c r="F434" s="9"/>
      <c r="G434"/>
      <c r="H434"/>
      <c r="J434"/>
      <c r="K434"/>
      <c r="P434" s="9"/>
      <c r="Q434" s="8"/>
      <c r="R434" s="8"/>
      <c r="S434" s="8"/>
      <c r="T434" s="10"/>
      <c r="U434" s="10"/>
      <c r="V434" s="10"/>
      <c r="X434" s="11"/>
    </row>
    <row r="435" spans="6:25" x14ac:dyDescent="0.25">
      <c r="F435" s="9"/>
      <c r="G435"/>
      <c r="H435"/>
      <c r="J435"/>
      <c r="K435"/>
      <c r="P435" s="9"/>
      <c r="Q435" s="8"/>
      <c r="R435" s="8"/>
      <c r="S435" s="8"/>
      <c r="T435" s="10"/>
      <c r="U435" s="10"/>
      <c r="V435" s="10"/>
      <c r="X435" s="11"/>
    </row>
    <row r="436" spans="6:25" x14ac:dyDescent="0.25">
      <c r="F436" s="9"/>
      <c r="G436"/>
      <c r="H436"/>
      <c r="J436"/>
      <c r="K436"/>
      <c r="P436" s="9"/>
      <c r="Q436" s="8"/>
      <c r="R436" s="8"/>
      <c r="S436" s="8"/>
      <c r="T436" s="10"/>
      <c r="U436" s="10"/>
      <c r="V436" s="10"/>
      <c r="X436" s="11"/>
    </row>
    <row r="437" spans="6:25" x14ac:dyDescent="0.25">
      <c r="F437" s="9"/>
      <c r="G437"/>
      <c r="H437"/>
      <c r="J437"/>
      <c r="K437"/>
      <c r="P437" s="9"/>
      <c r="Q437" s="8"/>
      <c r="R437" s="8"/>
      <c r="S437" s="8"/>
      <c r="T437" s="10"/>
      <c r="U437" s="10"/>
      <c r="V437" s="10"/>
      <c r="X437" s="11"/>
    </row>
    <row r="438" spans="6:25" x14ac:dyDescent="0.25">
      <c r="F438" s="9"/>
      <c r="G438"/>
      <c r="H438"/>
      <c r="J438"/>
      <c r="K438"/>
      <c r="P438" s="9"/>
      <c r="Q438" s="8"/>
      <c r="R438" s="8"/>
      <c r="S438" s="8"/>
      <c r="T438" s="10"/>
      <c r="U438" s="10"/>
      <c r="V438" s="10"/>
      <c r="X438" s="11"/>
    </row>
    <row r="439" spans="6:25" x14ac:dyDescent="0.25">
      <c r="F439" s="9"/>
      <c r="G439"/>
      <c r="H439"/>
      <c r="J439"/>
      <c r="K439"/>
      <c r="P439" s="9"/>
      <c r="Q439" s="8"/>
      <c r="R439" s="8"/>
      <c r="S439" s="8"/>
      <c r="T439" s="10"/>
      <c r="U439" s="10"/>
      <c r="V439" s="10"/>
      <c r="W439" s="7"/>
      <c r="X439" s="11"/>
      <c r="Y439" s="43"/>
    </row>
    <row r="440" spans="6:25" x14ac:dyDescent="0.25">
      <c r="F440" s="9"/>
      <c r="G440"/>
      <c r="H440"/>
      <c r="J440"/>
      <c r="K440"/>
      <c r="P440" s="9"/>
      <c r="Q440" s="8"/>
      <c r="R440" s="8"/>
      <c r="S440" s="8"/>
      <c r="T440" s="10"/>
      <c r="U440" s="10"/>
      <c r="V440" s="10"/>
      <c r="W440" s="7"/>
      <c r="X440" s="11"/>
      <c r="Y440" s="43"/>
    </row>
    <row r="441" spans="6:25" x14ac:dyDescent="0.25">
      <c r="F441" s="9"/>
      <c r="G441"/>
      <c r="H441"/>
      <c r="J441"/>
      <c r="K441"/>
      <c r="P441" s="9"/>
      <c r="Q441" s="8"/>
      <c r="R441" s="8"/>
      <c r="S441" s="8"/>
      <c r="T441" s="10"/>
      <c r="U441" s="10"/>
      <c r="V441" s="10"/>
      <c r="W441" s="7"/>
      <c r="X441" s="11"/>
      <c r="Y441" s="43"/>
    </row>
    <row r="442" spans="6:25" x14ac:dyDescent="0.25">
      <c r="F442" s="9"/>
      <c r="G442"/>
      <c r="H442"/>
      <c r="J442"/>
      <c r="K442"/>
      <c r="P442" s="9"/>
      <c r="Q442" s="8"/>
      <c r="R442" s="8"/>
      <c r="S442" s="8"/>
      <c r="T442" s="10"/>
      <c r="U442" s="10"/>
      <c r="V442" s="10"/>
      <c r="W442" s="7"/>
      <c r="X442" s="11"/>
      <c r="Y442" s="43"/>
    </row>
    <row r="443" spans="6:25" x14ac:dyDescent="0.25">
      <c r="F443" s="9"/>
      <c r="G443"/>
      <c r="H443"/>
      <c r="J443"/>
      <c r="K443"/>
      <c r="P443" s="9"/>
      <c r="Q443" s="8"/>
      <c r="R443" s="8"/>
      <c r="S443" s="8"/>
      <c r="T443" s="10"/>
      <c r="U443" s="10"/>
      <c r="V443" s="10"/>
      <c r="W443" s="7"/>
      <c r="X443" s="11"/>
      <c r="Y443" s="43"/>
    </row>
    <row r="444" spans="6:25" x14ac:dyDescent="0.25">
      <c r="F444" s="9"/>
      <c r="G444"/>
      <c r="H444"/>
      <c r="J444"/>
      <c r="K444"/>
      <c r="P444" s="9"/>
      <c r="Q444" s="8"/>
      <c r="R444" s="8"/>
      <c r="S444" s="8"/>
      <c r="T444" s="10"/>
      <c r="U444" s="10"/>
      <c r="V444" s="10"/>
      <c r="W444" s="7"/>
      <c r="X444" s="11"/>
      <c r="Y444" s="43"/>
    </row>
    <row r="445" spans="6:25" x14ac:dyDescent="0.25">
      <c r="F445" s="9"/>
      <c r="G445"/>
      <c r="H445"/>
      <c r="J445"/>
      <c r="K445"/>
      <c r="P445" s="9"/>
      <c r="Q445" s="8"/>
      <c r="R445" s="8"/>
      <c r="S445" s="8"/>
      <c r="T445" s="10"/>
      <c r="U445" s="10"/>
      <c r="V445" s="10"/>
      <c r="W445" s="7"/>
      <c r="X445" s="11"/>
      <c r="Y445" s="43"/>
    </row>
    <row r="446" spans="6:25" x14ac:dyDescent="0.25">
      <c r="F446" s="9"/>
      <c r="G446"/>
      <c r="H446"/>
      <c r="J446"/>
      <c r="K446"/>
      <c r="P446" s="9"/>
      <c r="Q446" s="8"/>
      <c r="R446" s="8"/>
      <c r="S446" s="8"/>
      <c r="T446" s="10"/>
      <c r="U446" s="10"/>
      <c r="V446" s="10"/>
      <c r="W446" s="7"/>
      <c r="X446" s="11"/>
      <c r="Y446" s="43"/>
    </row>
    <row r="447" spans="6:25" x14ac:dyDescent="0.25">
      <c r="F447" s="9"/>
      <c r="G447"/>
      <c r="H447"/>
      <c r="J447"/>
      <c r="K447"/>
      <c r="P447" s="9"/>
      <c r="Q447" s="8"/>
      <c r="R447" s="8"/>
      <c r="S447" s="8"/>
      <c r="T447" s="10"/>
      <c r="U447" s="10"/>
      <c r="V447" s="10"/>
      <c r="W447" s="7"/>
      <c r="X447" s="11"/>
      <c r="Y447" s="43"/>
    </row>
    <row r="448" spans="6:25" x14ac:dyDescent="0.25">
      <c r="F448" s="9"/>
      <c r="G448"/>
      <c r="H448"/>
      <c r="J448"/>
      <c r="K448"/>
      <c r="P448" s="9"/>
      <c r="Q448" s="8"/>
      <c r="R448" s="8"/>
      <c r="S448" s="8"/>
      <c r="T448" s="10"/>
      <c r="U448" s="10"/>
      <c r="V448" s="10"/>
      <c r="W448" s="7"/>
      <c r="X448" s="11"/>
      <c r="Y448" s="43"/>
    </row>
    <row r="449" spans="6:25" x14ac:dyDescent="0.25">
      <c r="F449" s="9"/>
      <c r="G449"/>
      <c r="H449"/>
      <c r="J449"/>
      <c r="K449"/>
      <c r="P449" s="9"/>
      <c r="Q449" s="8"/>
      <c r="R449" s="8"/>
      <c r="S449" s="8"/>
      <c r="T449" s="10"/>
      <c r="U449" s="10"/>
      <c r="V449" s="10"/>
      <c r="W449" s="7"/>
      <c r="X449" s="11"/>
      <c r="Y449" s="43"/>
    </row>
    <row r="450" spans="6:25" x14ac:dyDescent="0.25">
      <c r="F450" s="9"/>
      <c r="G450"/>
      <c r="H450"/>
      <c r="J450"/>
      <c r="K450"/>
      <c r="P450" s="9"/>
      <c r="Q450" s="8"/>
      <c r="R450" s="8"/>
      <c r="S450" s="8"/>
      <c r="T450" s="10"/>
      <c r="U450" s="10"/>
      <c r="V450" s="10"/>
      <c r="W450" s="7"/>
      <c r="X450" s="11"/>
      <c r="Y450" s="43"/>
    </row>
    <row r="451" spans="6:25" x14ac:dyDescent="0.25">
      <c r="F451" s="9"/>
      <c r="G451"/>
      <c r="H451"/>
      <c r="J451"/>
      <c r="K451"/>
      <c r="P451" s="9"/>
      <c r="Q451" s="8"/>
      <c r="R451" s="8"/>
      <c r="S451" s="8"/>
      <c r="T451" s="10"/>
      <c r="U451" s="10"/>
      <c r="V451" s="10"/>
      <c r="W451" s="7"/>
      <c r="X451" s="11"/>
      <c r="Y451" s="43"/>
    </row>
    <row r="452" spans="6:25" x14ac:dyDescent="0.25">
      <c r="F452" s="9"/>
      <c r="G452"/>
      <c r="H452"/>
      <c r="J452"/>
      <c r="K452"/>
      <c r="P452" s="9"/>
      <c r="Q452" s="8"/>
      <c r="R452" s="8"/>
      <c r="S452" s="8"/>
      <c r="T452" s="10"/>
      <c r="U452" s="10"/>
      <c r="V452" s="10"/>
      <c r="W452" s="7"/>
      <c r="X452" s="11"/>
      <c r="Y452" s="43"/>
    </row>
    <row r="453" spans="6:25" x14ac:dyDescent="0.25">
      <c r="F453" s="9"/>
      <c r="G453"/>
      <c r="H453"/>
      <c r="J453"/>
      <c r="K453"/>
      <c r="P453" s="9"/>
      <c r="Q453" s="8"/>
      <c r="R453" s="8"/>
      <c r="S453" s="8"/>
      <c r="T453" s="10"/>
      <c r="U453" s="10"/>
      <c r="V453" s="10"/>
      <c r="W453" s="7"/>
      <c r="X453" s="11"/>
      <c r="Y453" s="43"/>
    </row>
    <row r="454" spans="6:25" x14ac:dyDescent="0.25">
      <c r="F454" s="9"/>
      <c r="G454"/>
      <c r="H454"/>
      <c r="J454"/>
      <c r="K454"/>
      <c r="P454" s="9"/>
      <c r="Q454" s="8"/>
      <c r="R454" s="8"/>
      <c r="S454" s="8"/>
      <c r="T454" s="10"/>
      <c r="U454" s="10"/>
      <c r="V454" s="10"/>
      <c r="W454" s="7"/>
      <c r="X454" s="11"/>
      <c r="Y454" s="43"/>
    </row>
    <row r="455" spans="6:25" x14ac:dyDescent="0.25">
      <c r="F455" s="9"/>
      <c r="G455"/>
      <c r="H455"/>
      <c r="J455"/>
      <c r="K455"/>
      <c r="P455" s="9"/>
      <c r="Q455" s="8"/>
      <c r="R455" s="8"/>
      <c r="S455" s="8"/>
      <c r="T455" s="10"/>
      <c r="U455" s="10"/>
      <c r="V455" s="10"/>
      <c r="W455" s="7"/>
      <c r="X455" s="11"/>
      <c r="Y455" s="43"/>
    </row>
    <row r="456" spans="6:25" x14ac:dyDescent="0.25">
      <c r="F456" s="9"/>
      <c r="G456"/>
      <c r="H456"/>
      <c r="J456"/>
      <c r="K456"/>
      <c r="P456" s="9"/>
      <c r="Q456" s="8"/>
      <c r="R456" s="8"/>
      <c r="S456" s="8"/>
      <c r="T456" s="10"/>
      <c r="U456" s="10"/>
      <c r="V456" s="10"/>
      <c r="W456" s="7"/>
      <c r="X456" s="11"/>
      <c r="Y456" s="43"/>
    </row>
    <row r="457" spans="6:25" x14ac:dyDescent="0.25">
      <c r="F457" s="9"/>
      <c r="G457"/>
      <c r="H457"/>
      <c r="J457"/>
      <c r="K457"/>
      <c r="P457" s="9"/>
      <c r="Q457" s="22"/>
      <c r="R457" s="22"/>
      <c r="S457" s="22"/>
      <c r="T457" s="10"/>
      <c r="U457" s="10"/>
      <c r="V457" s="10"/>
      <c r="W457" s="22"/>
      <c r="X457" s="11"/>
    </row>
    <row r="458" spans="6:25" x14ac:dyDescent="0.25">
      <c r="F458" s="9"/>
      <c r="G458"/>
      <c r="H458"/>
      <c r="J458"/>
      <c r="K458"/>
      <c r="P458" s="9"/>
      <c r="Q458" s="22"/>
      <c r="R458" s="22"/>
      <c r="S458" s="22"/>
      <c r="T458" s="10"/>
      <c r="U458" s="10"/>
      <c r="V458" s="10"/>
      <c r="W458" s="22"/>
      <c r="X458" s="11"/>
    </row>
    <row r="459" spans="6:25" x14ac:dyDescent="0.25">
      <c r="F459" s="9"/>
      <c r="G459"/>
      <c r="H459"/>
      <c r="J459"/>
      <c r="K459"/>
      <c r="P459" s="9"/>
      <c r="Q459" s="22"/>
      <c r="R459" s="22"/>
      <c r="S459" s="22"/>
      <c r="T459" s="10"/>
      <c r="U459" s="10"/>
      <c r="V459" s="10"/>
      <c r="W459" s="22"/>
      <c r="X459" s="11"/>
    </row>
    <row r="460" spans="6:25" x14ac:dyDescent="0.25">
      <c r="F460" s="9"/>
      <c r="G460"/>
      <c r="H460"/>
      <c r="J460"/>
      <c r="K460"/>
      <c r="P460" s="9"/>
      <c r="Q460" s="22"/>
      <c r="R460" s="22"/>
      <c r="S460" s="22"/>
      <c r="T460" s="10"/>
      <c r="U460" s="10"/>
      <c r="V460" s="10"/>
      <c r="W460" s="22"/>
      <c r="X460" s="11"/>
    </row>
    <row r="461" spans="6:25" x14ac:dyDescent="0.25">
      <c r="F461" s="9"/>
      <c r="G461"/>
      <c r="H461"/>
      <c r="J461"/>
      <c r="K461"/>
      <c r="P461" s="9"/>
      <c r="Q461" s="22"/>
      <c r="R461" s="22"/>
      <c r="S461" s="22"/>
      <c r="T461" s="10"/>
      <c r="U461" s="10"/>
      <c r="V461" s="10"/>
      <c r="W461" s="22"/>
      <c r="X461" s="11"/>
    </row>
    <row r="462" spans="6:25" x14ac:dyDescent="0.25">
      <c r="F462" s="9"/>
      <c r="G462"/>
      <c r="H462"/>
      <c r="J462"/>
      <c r="K462"/>
      <c r="P462" s="9"/>
      <c r="Q462" s="22"/>
      <c r="R462" s="22"/>
      <c r="S462" s="22"/>
      <c r="T462" s="10"/>
      <c r="U462" s="10"/>
      <c r="V462" s="10"/>
      <c r="W462" s="22"/>
      <c r="X462" s="11"/>
    </row>
    <row r="463" spans="6:25" x14ac:dyDescent="0.25">
      <c r="F463" s="9"/>
      <c r="G463"/>
      <c r="H463"/>
      <c r="J463"/>
      <c r="K463"/>
      <c r="P463" s="9"/>
      <c r="Q463" s="22"/>
      <c r="R463" s="22"/>
      <c r="S463" s="22"/>
      <c r="T463" s="10"/>
      <c r="U463" s="10"/>
      <c r="V463" s="10"/>
      <c r="W463" s="22"/>
      <c r="X463" s="11"/>
    </row>
    <row r="464" spans="6:25" x14ac:dyDescent="0.25">
      <c r="F464" s="9"/>
      <c r="G464"/>
      <c r="H464"/>
      <c r="J464"/>
      <c r="K464"/>
      <c r="P464" s="9"/>
      <c r="Q464" s="22"/>
      <c r="R464" s="22"/>
      <c r="S464" s="22"/>
      <c r="T464" s="10"/>
      <c r="U464" s="10"/>
      <c r="V464" s="10"/>
      <c r="W464" s="22"/>
      <c r="X464" s="11"/>
    </row>
    <row r="465" spans="6:24" x14ac:dyDescent="0.25">
      <c r="F465" s="9"/>
      <c r="G465"/>
      <c r="H465"/>
      <c r="J465"/>
      <c r="K465"/>
      <c r="P465" s="9"/>
      <c r="Q465" s="22"/>
      <c r="R465" s="22"/>
      <c r="S465" s="22"/>
      <c r="T465" s="10"/>
      <c r="U465" s="10"/>
      <c r="V465" s="10"/>
      <c r="W465" s="22"/>
      <c r="X465" s="11"/>
    </row>
    <row r="466" spans="6:24" x14ac:dyDescent="0.25">
      <c r="F466" s="9"/>
      <c r="G466"/>
      <c r="H466"/>
      <c r="J466"/>
      <c r="K466"/>
      <c r="P466" s="9"/>
      <c r="Q466" s="22"/>
      <c r="R466" s="22"/>
      <c r="S466" s="22"/>
      <c r="T466" s="10"/>
      <c r="U466" s="10"/>
      <c r="V466" s="10"/>
      <c r="W466" s="22"/>
      <c r="X466" s="11"/>
    </row>
    <row r="467" spans="6:24" x14ac:dyDescent="0.25">
      <c r="F467" s="9"/>
      <c r="G467"/>
      <c r="H467"/>
      <c r="J467"/>
      <c r="K467"/>
      <c r="P467" s="9"/>
      <c r="Q467" s="22"/>
      <c r="R467" s="22"/>
      <c r="S467" s="22"/>
      <c r="T467" s="10"/>
      <c r="U467" s="10"/>
      <c r="V467" s="10"/>
      <c r="W467" s="22"/>
      <c r="X467" s="11"/>
    </row>
    <row r="468" spans="6:24" x14ac:dyDescent="0.25">
      <c r="F468" s="9"/>
      <c r="G468"/>
      <c r="H468"/>
      <c r="J468"/>
      <c r="K468"/>
      <c r="P468" s="9"/>
      <c r="Q468" s="8"/>
      <c r="R468" s="8"/>
      <c r="S468" s="8"/>
      <c r="T468" s="10"/>
      <c r="U468" s="10"/>
      <c r="V468" s="10"/>
      <c r="W468" s="22"/>
      <c r="X468" s="11"/>
    </row>
    <row r="469" spans="6:24" x14ac:dyDescent="0.25">
      <c r="F469" s="9"/>
      <c r="G469"/>
      <c r="H469"/>
      <c r="J469"/>
      <c r="K469"/>
      <c r="P469" s="9"/>
      <c r="Q469" s="8"/>
      <c r="R469" s="8"/>
      <c r="S469" s="8"/>
      <c r="T469" s="10"/>
      <c r="U469" s="10"/>
      <c r="V469" s="10"/>
      <c r="W469" s="22"/>
      <c r="X469" s="11"/>
    </row>
    <row r="470" spans="6:24" x14ac:dyDescent="0.25">
      <c r="F470" s="9"/>
      <c r="G470"/>
      <c r="H470"/>
      <c r="J470"/>
      <c r="K470"/>
      <c r="P470" s="9"/>
      <c r="Q470" s="8"/>
      <c r="R470" s="8"/>
      <c r="S470" s="8"/>
      <c r="T470" s="10"/>
      <c r="U470" s="10"/>
      <c r="V470" s="10"/>
      <c r="W470" s="22"/>
      <c r="X470" s="11"/>
    </row>
    <row r="471" spans="6:24" x14ac:dyDescent="0.25">
      <c r="F471" s="9"/>
      <c r="G471"/>
      <c r="H471"/>
      <c r="J471"/>
      <c r="K471"/>
      <c r="P471" s="9"/>
      <c r="Q471" s="8"/>
      <c r="R471" s="8"/>
      <c r="S471" s="8"/>
      <c r="T471" s="10"/>
      <c r="U471" s="10"/>
      <c r="V471" s="10"/>
      <c r="W471" s="22"/>
      <c r="X471" s="11"/>
    </row>
    <row r="472" spans="6:24" x14ac:dyDescent="0.25">
      <c r="F472" s="9"/>
      <c r="G472"/>
      <c r="H472"/>
      <c r="J472"/>
      <c r="K472"/>
      <c r="P472" s="9"/>
      <c r="Q472" s="8"/>
      <c r="R472" s="8"/>
      <c r="S472" s="8"/>
      <c r="T472" s="10"/>
      <c r="U472" s="10"/>
      <c r="V472" s="10"/>
      <c r="W472" s="22"/>
      <c r="X472" s="11"/>
    </row>
    <row r="473" spans="6:24" x14ac:dyDescent="0.25">
      <c r="F473" s="9"/>
      <c r="G473"/>
      <c r="H473"/>
      <c r="J473"/>
      <c r="K473"/>
      <c r="P473" s="9"/>
      <c r="Q473" s="8"/>
      <c r="R473" s="8"/>
      <c r="S473" s="8"/>
      <c r="T473" s="10"/>
      <c r="U473" s="10"/>
      <c r="V473" s="10"/>
      <c r="W473" s="22"/>
      <c r="X473" s="11"/>
    </row>
    <row r="474" spans="6:24" x14ac:dyDescent="0.25">
      <c r="F474" s="9"/>
      <c r="G474"/>
      <c r="H474"/>
      <c r="J474"/>
      <c r="K474"/>
      <c r="P474" s="9"/>
      <c r="Q474" s="8"/>
      <c r="R474" s="8"/>
      <c r="S474" s="8"/>
      <c r="T474" s="10"/>
      <c r="U474" s="10"/>
      <c r="V474" s="10"/>
      <c r="W474" s="22"/>
      <c r="X474" s="11"/>
    </row>
    <row r="475" spans="6:24" x14ac:dyDescent="0.25">
      <c r="F475" s="9"/>
      <c r="G475"/>
      <c r="H475"/>
      <c r="J475"/>
      <c r="K475"/>
      <c r="P475" s="9"/>
      <c r="Q475" s="8"/>
      <c r="R475" s="8"/>
      <c r="S475" s="8"/>
      <c r="T475" s="10"/>
      <c r="U475" s="10"/>
      <c r="V475" s="10"/>
      <c r="W475" s="22"/>
      <c r="X475" s="11"/>
    </row>
    <row r="476" spans="6:24" x14ac:dyDescent="0.25">
      <c r="F476" s="9"/>
      <c r="G476"/>
      <c r="H476"/>
      <c r="J476"/>
      <c r="K476"/>
      <c r="P476" s="17"/>
      <c r="Q476" s="8"/>
      <c r="R476" s="8"/>
      <c r="S476" s="8"/>
      <c r="T476" s="10"/>
      <c r="U476" s="10"/>
      <c r="V476" s="10"/>
      <c r="X476" s="11"/>
    </row>
    <row r="477" spans="6:24" x14ac:dyDescent="0.25">
      <c r="F477" s="9"/>
      <c r="G477"/>
      <c r="H477"/>
      <c r="J477"/>
      <c r="K477"/>
      <c r="P477" s="17"/>
      <c r="Q477" s="8"/>
      <c r="R477" s="8"/>
      <c r="S477" s="8"/>
      <c r="T477" s="10"/>
      <c r="U477" s="10"/>
      <c r="V477" s="10"/>
      <c r="X477" s="11"/>
    </row>
    <row r="478" spans="6:24" x14ac:dyDescent="0.25">
      <c r="F478" s="9"/>
      <c r="G478"/>
      <c r="H478"/>
      <c r="J478"/>
      <c r="K478"/>
      <c r="P478" s="17"/>
      <c r="Q478" s="8"/>
      <c r="R478" s="8"/>
      <c r="S478" s="8"/>
      <c r="T478" s="10"/>
      <c r="U478" s="10"/>
      <c r="V478" s="10"/>
      <c r="X478" s="11"/>
    </row>
    <row r="479" spans="6:24" x14ac:dyDescent="0.25">
      <c r="F479" s="9"/>
      <c r="G479"/>
      <c r="H479"/>
      <c r="J479"/>
      <c r="K479"/>
      <c r="P479" s="17"/>
      <c r="Q479" s="8"/>
      <c r="R479" s="8"/>
      <c r="S479" s="8"/>
      <c r="T479" s="10"/>
      <c r="U479" s="10"/>
      <c r="V479" s="10"/>
      <c r="X479" s="11"/>
    </row>
    <row r="480" spans="6:24" x14ac:dyDescent="0.25">
      <c r="F480" s="9"/>
      <c r="G480"/>
      <c r="H480"/>
      <c r="J480"/>
      <c r="K480"/>
      <c r="P480" s="17"/>
      <c r="Q480" s="8"/>
      <c r="R480" s="8"/>
      <c r="S480" s="8"/>
      <c r="T480" s="10"/>
      <c r="U480" s="10"/>
      <c r="V480" s="10"/>
      <c r="X480" s="11"/>
    </row>
    <row r="481" spans="6:24" x14ac:dyDescent="0.25">
      <c r="F481" s="9"/>
      <c r="G481"/>
      <c r="H481"/>
      <c r="J481"/>
      <c r="K481"/>
      <c r="P481" s="17"/>
      <c r="Q481" s="8"/>
      <c r="R481" s="8"/>
      <c r="S481" s="8"/>
      <c r="T481" s="10"/>
      <c r="U481" s="10"/>
      <c r="V481" s="10"/>
      <c r="X481" s="11"/>
    </row>
    <row r="482" spans="6:24" x14ac:dyDescent="0.25">
      <c r="F482" s="9"/>
      <c r="G482"/>
      <c r="H482"/>
      <c r="J482"/>
      <c r="K482"/>
      <c r="P482" s="17"/>
      <c r="Q482" s="8"/>
      <c r="R482" s="8"/>
      <c r="S482" s="8"/>
      <c r="T482" s="10"/>
      <c r="U482" s="10"/>
      <c r="V482" s="10"/>
      <c r="X482" s="11"/>
    </row>
    <row r="483" spans="6:24" x14ac:dyDescent="0.25">
      <c r="F483" s="9"/>
      <c r="G483"/>
      <c r="H483"/>
      <c r="J483"/>
      <c r="K483"/>
      <c r="P483" s="9"/>
      <c r="Q483" s="8"/>
      <c r="R483" s="8"/>
      <c r="S483" s="8"/>
      <c r="T483" s="10"/>
      <c r="U483" s="10"/>
      <c r="V483" s="10"/>
      <c r="X483" s="11"/>
    </row>
    <row r="484" spans="6:24" x14ac:dyDescent="0.25">
      <c r="F484" s="9"/>
      <c r="G484"/>
      <c r="H484"/>
      <c r="J484"/>
      <c r="K484"/>
      <c r="P484" s="9"/>
      <c r="Q484" s="8"/>
      <c r="R484" s="8"/>
      <c r="S484" s="8"/>
      <c r="T484" s="10"/>
      <c r="U484" s="10"/>
      <c r="V484" s="10"/>
      <c r="X484" s="11"/>
    </row>
    <row r="485" spans="6:24" x14ac:dyDescent="0.25">
      <c r="F485" s="9"/>
      <c r="G485"/>
      <c r="H485"/>
      <c r="J485"/>
      <c r="K485"/>
      <c r="P485" s="17"/>
      <c r="Q485" s="17"/>
      <c r="R485" s="17"/>
      <c r="S485" s="17"/>
      <c r="T485" s="10"/>
      <c r="U485" s="10"/>
      <c r="V485" s="10"/>
      <c r="X485" s="11"/>
    </row>
    <row r="486" spans="6:24" x14ac:dyDescent="0.25">
      <c r="F486" s="9"/>
      <c r="G486"/>
      <c r="H486"/>
      <c r="J486"/>
      <c r="K486"/>
      <c r="P486" s="17"/>
      <c r="Q486" s="17"/>
      <c r="R486" s="17"/>
      <c r="S486" s="17"/>
      <c r="T486" s="10"/>
      <c r="U486" s="10"/>
      <c r="V486" s="10"/>
      <c r="X486" s="11"/>
    </row>
    <row r="487" spans="6:24" x14ac:dyDescent="0.25">
      <c r="F487" s="9"/>
      <c r="G487"/>
      <c r="H487"/>
      <c r="J487"/>
      <c r="K487"/>
      <c r="P487" s="17"/>
      <c r="Q487" s="17"/>
      <c r="R487" s="17"/>
      <c r="S487" s="17"/>
      <c r="T487" s="10"/>
      <c r="U487" s="10"/>
      <c r="V487" s="10"/>
      <c r="X487" s="11"/>
    </row>
    <row r="488" spans="6:24" x14ac:dyDescent="0.25">
      <c r="F488" s="9"/>
      <c r="G488"/>
      <c r="H488"/>
      <c r="J488"/>
      <c r="K488"/>
      <c r="P488" s="17"/>
      <c r="Q488" s="17"/>
      <c r="R488" s="17"/>
      <c r="S488" s="17"/>
      <c r="T488" s="10"/>
      <c r="U488" s="10"/>
      <c r="V488" s="10"/>
      <c r="X488" s="11"/>
    </row>
    <row r="489" spans="6:24" x14ac:dyDescent="0.25">
      <c r="F489" s="9"/>
      <c r="G489"/>
      <c r="H489"/>
      <c r="J489"/>
      <c r="K489"/>
      <c r="P489" s="17"/>
      <c r="Q489" s="17"/>
      <c r="R489" s="17"/>
      <c r="S489" s="17"/>
      <c r="T489" s="10"/>
      <c r="U489" s="10"/>
      <c r="V489" s="10"/>
      <c r="X489" s="11"/>
    </row>
    <row r="490" spans="6:24" x14ac:dyDescent="0.25">
      <c r="F490" s="9"/>
      <c r="G490"/>
      <c r="H490"/>
      <c r="J490"/>
      <c r="K490"/>
      <c r="P490" s="17"/>
      <c r="Q490" s="17"/>
      <c r="R490" s="17"/>
      <c r="S490" s="17"/>
      <c r="T490" s="10"/>
      <c r="U490" s="10"/>
      <c r="V490" s="10"/>
      <c r="X490" s="11"/>
    </row>
    <row r="491" spans="6:24" x14ac:dyDescent="0.25">
      <c r="F491" s="9"/>
      <c r="G491"/>
      <c r="H491"/>
      <c r="J491"/>
      <c r="K491"/>
      <c r="P491" s="17"/>
      <c r="Q491" s="17"/>
      <c r="R491" s="17"/>
      <c r="S491" s="17"/>
      <c r="T491" s="10"/>
      <c r="U491" s="10"/>
      <c r="V491" s="10"/>
      <c r="X491" s="11"/>
    </row>
    <row r="492" spans="6:24" x14ac:dyDescent="0.25">
      <c r="F492" s="9"/>
      <c r="G492"/>
      <c r="H492"/>
      <c r="J492"/>
      <c r="K492"/>
      <c r="P492" s="17"/>
      <c r="Q492" s="17"/>
      <c r="R492" s="17"/>
      <c r="S492" s="17"/>
      <c r="T492" s="10"/>
      <c r="U492" s="10"/>
      <c r="V492" s="10"/>
      <c r="X492" s="11"/>
    </row>
    <row r="493" spans="6:24" x14ac:dyDescent="0.25">
      <c r="F493" s="9"/>
      <c r="G493"/>
      <c r="H493"/>
      <c r="J493"/>
      <c r="K493"/>
      <c r="P493" s="17"/>
      <c r="Q493" s="17"/>
      <c r="R493" s="17"/>
      <c r="S493" s="17"/>
      <c r="T493" s="10"/>
      <c r="U493" s="10"/>
      <c r="V493" s="10"/>
      <c r="X493" s="11"/>
    </row>
    <row r="494" spans="6:24" x14ac:dyDescent="0.25">
      <c r="F494" s="9"/>
      <c r="G494"/>
      <c r="H494"/>
      <c r="J494"/>
      <c r="K494"/>
      <c r="P494" s="17"/>
      <c r="Q494" s="17"/>
      <c r="R494" s="17"/>
      <c r="S494" s="17"/>
      <c r="T494" s="10"/>
      <c r="U494" s="10"/>
      <c r="V494" s="10"/>
      <c r="X494" s="11"/>
    </row>
    <row r="495" spans="6:24" x14ac:dyDescent="0.25">
      <c r="F495" s="9"/>
      <c r="G495"/>
      <c r="H495"/>
      <c r="J495"/>
      <c r="K495"/>
      <c r="P495" s="17"/>
      <c r="Q495" s="17"/>
      <c r="R495" s="17"/>
      <c r="S495" s="17"/>
      <c r="T495" s="10"/>
      <c r="U495" s="10"/>
      <c r="V495" s="10"/>
      <c r="X495" s="11"/>
    </row>
    <row r="496" spans="6:24" x14ac:dyDescent="0.25">
      <c r="F496" s="9"/>
      <c r="G496"/>
      <c r="H496"/>
      <c r="J496"/>
      <c r="K496"/>
      <c r="P496" s="17"/>
      <c r="Q496" s="17"/>
      <c r="R496" s="17"/>
      <c r="S496" s="17"/>
      <c r="T496" s="10"/>
      <c r="U496" s="10"/>
      <c r="V496" s="10"/>
      <c r="X496" s="11"/>
    </row>
    <row r="497" spans="6:24" x14ac:dyDescent="0.25">
      <c r="F497" s="9"/>
      <c r="G497"/>
      <c r="H497"/>
      <c r="J497"/>
      <c r="K497"/>
      <c r="P497" s="17"/>
      <c r="Q497" s="17"/>
      <c r="R497" s="17"/>
      <c r="S497" s="17"/>
      <c r="T497" s="10"/>
      <c r="U497" s="10"/>
      <c r="V497" s="10"/>
      <c r="X497" s="11"/>
    </row>
    <row r="498" spans="6:24" x14ac:dyDescent="0.25">
      <c r="F498" s="9"/>
      <c r="G498"/>
      <c r="H498"/>
      <c r="J498"/>
      <c r="K498"/>
      <c r="P498" s="17"/>
      <c r="Q498" s="17"/>
      <c r="R498" s="17"/>
      <c r="S498" s="17"/>
      <c r="T498" s="10"/>
      <c r="U498" s="10"/>
      <c r="V498" s="10"/>
      <c r="X498" s="11"/>
    </row>
    <row r="499" spans="6:24" x14ac:dyDescent="0.25">
      <c r="F499" s="9"/>
      <c r="G499"/>
      <c r="H499"/>
      <c r="J499"/>
      <c r="K499"/>
      <c r="P499" s="17"/>
      <c r="Q499" s="17"/>
      <c r="R499" s="17"/>
      <c r="S499" s="17"/>
      <c r="T499" s="10"/>
      <c r="U499" s="10"/>
      <c r="V499" s="10"/>
      <c r="X499" s="11"/>
    </row>
    <row r="500" spans="6:24" x14ac:dyDescent="0.25">
      <c r="F500" s="9"/>
      <c r="G500"/>
      <c r="H500"/>
      <c r="J500"/>
      <c r="K500"/>
      <c r="P500" s="17"/>
      <c r="Q500" s="17"/>
      <c r="R500" s="17"/>
      <c r="S500" s="17"/>
      <c r="T500" s="10"/>
      <c r="U500" s="10"/>
      <c r="V500" s="10"/>
      <c r="X500" s="11"/>
    </row>
    <row r="501" spans="6:24" x14ac:dyDescent="0.25">
      <c r="F501" s="9"/>
      <c r="G501"/>
      <c r="H501"/>
      <c r="J501"/>
      <c r="K501"/>
      <c r="P501" s="17"/>
      <c r="Q501" s="17"/>
      <c r="R501" s="17"/>
      <c r="S501" s="17"/>
      <c r="T501" s="10"/>
      <c r="U501" s="10"/>
      <c r="V501" s="10"/>
      <c r="X501" s="11"/>
    </row>
    <row r="502" spans="6:24" x14ac:dyDescent="0.25">
      <c r="F502" s="9"/>
      <c r="G502"/>
      <c r="H502"/>
      <c r="J502"/>
      <c r="K502"/>
      <c r="P502" s="17"/>
      <c r="Q502" s="17"/>
      <c r="R502" s="17"/>
      <c r="S502" s="17"/>
      <c r="T502" s="10"/>
      <c r="U502" s="10"/>
      <c r="V502" s="10"/>
      <c r="X502" s="11"/>
    </row>
    <row r="503" spans="6:24" x14ac:dyDescent="0.25">
      <c r="F503" s="9"/>
      <c r="G503"/>
      <c r="H503"/>
      <c r="J503"/>
      <c r="K503"/>
      <c r="P503" s="17"/>
      <c r="Q503" s="17"/>
      <c r="R503" s="17"/>
      <c r="S503" s="17"/>
      <c r="T503" s="10"/>
      <c r="U503" s="10"/>
      <c r="V503" s="10"/>
      <c r="X503" s="11"/>
    </row>
    <row r="504" spans="6:24" x14ac:dyDescent="0.25">
      <c r="F504" s="9"/>
      <c r="G504"/>
      <c r="H504"/>
      <c r="J504"/>
      <c r="K504"/>
      <c r="P504" s="17"/>
      <c r="Q504" s="17"/>
      <c r="R504" s="17"/>
      <c r="S504" s="17"/>
      <c r="T504" s="10"/>
      <c r="U504" s="10"/>
      <c r="V504" s="10"/>
      <c r="X504" s="11"/>
    </row>
    <row r="505" spans="6:24" x14ac:dyDescent="0.25">
      <c r="F505" s="9"/>
      <c r="G505"/>
      <c r="H505"/>
      <c r="J505"/>
      <c r="K505"/>
      <c r="P505" s="17"/>
      <c r="Q505" s="17"/>
      <c r="R505" s="17"/>
      <c r="S505" s="17"/>
      <c r="T505" s="10"/>
      <c r="U505" s="10"/>
      <c r="V505" s="10"/>
      <c r="X505" s="11"/>
    </row>
    <row r="506" spans="6:24" x14ac:dyDescent="0.25">
      <c r="F506" s="9"/>
      <c r="G506"/>
      <c r="H506"/>
      <c r="J506"/>
      <c r="K506"/>
      <c r="P506" s="17"/>
      <c r="Q506" s="17"/>
      <c r="R506" s="17"/>
      <c r="S506" s="17"/>
      <c r="T506" s="10"/>
      <c r="U506" s="10"/>
      <c r="V506" s="10"/>
      <c r="X506" s="11"/>
    </row>
    <row r="507" spans="6:24" x14ac:dyDescent="0.25">
      <c r="F507" s="9"/>
      <c r="G507"/>
      <c r="H507"/>
      <c r="J507"/>
      <c r="K507"/>
      <c r="P507" s="17"/>
      <c r="Q507" s="17"/>
      <c r="R507" s="17"/>
      <c r="S507" s="17"/>
      <c r="T507" s="10"/>
      <c r="U507" s="10"/>
      <c r="V507" s="10"/>
      <c r="X507" s="11"/>
    </row>
    <row r="508" spans="6:24" x14ac:dyDescent="0.25">
      <c r="F508" s="9"/>
      <c r="G508"/>
      <c r="H508"/>
      <c r="J508"/>
      <c r="K508"/>
      <c r="P508" s="17"/>
      <c r="Q508" s="17"/>
      <c r="R508" s="17"/>
      <c r="S508" s="17"/>
      <c r="T508" s="10"/>
      <c r="U508" s="10"/>
      <c r="V508" s="10"/>
      <c r="X508" s="11"/>
    </row>
    <row r="509" spans="6:24" x14ac:dyDescent="0.25">
      <c r="F509" s="9"/>
      <c r="G509"/>
      <c r="H509"/>
      <c r="J509"/>
      <c r="K509"/>
      <c r="P509" s="17"/>
      <c r="Q509" s="17"/>
      <c r="R509" s="17"/>
      <c r="S509" s="17"/>
      <c r="T509" s="10"/>
      <c r="U509" s="10"/>
      <c r="V509" s="10"/>
      <c r="X509" s="11"/>
    </row>
    <row r="510" spans="6:24" x14ac:dyDescent="0.25">
      <c r="F510" s="9"/>
      <c r="G510"/>
      <c r="H510"/>
      <c r="J510"/>
      <c r="K510"/>
      <c r="P510" s="17"/>
      <c r="Q510" s="17"/>
      <c r="R510" s="17"/>
      <c r="S510" s="17"/>
      <c r="T510" s="10"/>
      <c r="U510" s="10"/>
      <c r="V510" s="10"/>
      <c r="X510" s="11"/>
    </row>
    <row r="511" spans="6:24" x14ac:dyDescent="0.25">
      <c r="F511" s="9"/>
      <c r="G511"/>
      <c r="H511"/>
      <c r="J511"/>
      <c r="K511"/>
      <c r="P511" s="17"/>
      <c r="Q511" s="17"/>
      <c r="R511" s="17"/>
      <c r="S511" s="17"/>
      <c r="T511" s="10"/>
      <c r="U511" s="10"/>
      <c r="V511" s="10"/>
      <c r="X511" s="11"/>
    </row>
    <row r="512" spans="6:24" x14ac:dyDescent="0.25">
      <c r="F512" s="9"/>
      <c r="G512"/>
      <c r="H512"/>
      <c r="J512"/>
      <c r="K512"/>
      <c r="P512" s="17"/>
      <c r="Q512" s="17"/>
      <c r="R512" s="17"/>
      <c r="S512" s="17"/>
      <c r="T512" s="10"/>
      <c r="U512" s="10"/>
      <c r="V512" s="10"/>
      <c r="X512" s="11"/>
    </row>
    <row r="513" spans="6:24" x14ac:dyDescent="0.25">
      <c r="F513" s="9"/>
      <c r="G513"/>
      <c r="H513"/>
      <c r="J513"/>
      <c r="K513"/>
      <c r="P513" s="17"/>
      <c r="Q513" s="17"/>
      <c r="R513" s="17"/>
      <c r="S513" s="17"/>
      <c r="T513" s="10"/>
      <c r="U513" s="10"/>
      <c r="V513" s="10"/>
      <c r="X513" s="11"/>
    </row>
    <row r="514" spans="6:24" x14ac:dyDescent="0.25">
      <c r="F514" s="9"/>
      <c r="G514"/>
      <c r="H514"/>
      <c r="J514"/>
      <c r="K514"/>
      <c r="P514" s="17"/>
      <c r="Q514" s="17"/>
      <c r="R514" s="17"/>
      <c r="S514" s="17"/>
      <c r="T514" s="10"/>
      <c r="U514" s="10"/>
      <c r="V514" s="10"/>
      <c r="X514" s="11"/>
    </row>
    <row r="515" spans="6:24" x14ac:dyDescent="0.25">
      <c r="F515" s="9"/>
      <c r="G515"/>
      <c r="H515"/>
      <c r="J515"/>
      <c r="K515"/>
      <c r="P515" s="17"/>
      <c r="Q515" s="17"/>
      <c r="R515" s="17"/>
      <c r="S515" s="17"/>
      <c r="T515" s="10"/>
      <c r="U515" s="10"/>
      <c r="V515" s="10"/>
      <c r="X515" s="11"/>
    </row>
    <row r="516" spans="6:24" x14ac:dyDescent="0.25">
      <c r="F516" s="9"/>
      <c r="G516"/>
      <c r="H516"/>
      <c r="J516"/>
      <c r="K516"/>
      <c r="P516" s="17"/>
      <c r="Q516" s="17"/>
      <c r="R516" s="17"/>
      <c r="S516" s="17"/>
      <c r="T516" s="10"/>
      <c r="U516" s="10"/>
      <c r="V516" s="10"/>
      <c r="X516" s="11"/>
    </row>
    <row r="517" spans="6:24" x14ac:dyDescent="0.25">
      <c r="F517" s="9"/>
      <c r="G517"/>
      <c r="H517"/>
      <c r="J517"/>
      <c r="K517"/>
      <c r="P517" s="17"/>
      <c r="Q517" s="17"/>
      <c r="R517" s="17"/>
      <c r="S517" s="17"/>
      <c r="T517" s="10"/>
      <c r="U517" s="10"/>
      <c r="V517" s="10"/>
      <c r="X517" s="11"/>
    </row>
    <row r="518" spans="6:24" x14ac:dyDescent="0.25">
      <c r="F518" s="9"/>
      <c r="G518"/>
      <c r="H518"/>
      <c r="J518"/>
      <c r="K518"/>
      <c r="P518" s="17"/>
      <c r="Q518" s="17"/>
      <c r="R518" s="17"/>
      <c r="S518" s="17"/>
      <c r="T518" s="10"/>
      <c r="U518" s="10"/>
      <c r="V518" s="10"/>
      <c r="X518" s="11"/>
    </row>
    <row r="519" spans="6:24" x14ac:dyDescent="0.25">
      <c r="F519" s="9"/>
      <c r="G519"/>
      <c r="H519"/>
      <c r="J519"/>
      <c r="K519"/>
      <c r="P519" s="17"/>
      <c r="Q519" s="17"/>
      <c r="R519" s="17"/>
      <c r="S519" s="17"/>
      <c r="T519" s="10"/>
      <c r="U519" s="10"/>
      <c r="V519" s="10"/>
      <c r="X519" s="11"/>
    </row>
    <row r="520" spans="6:24" x14ac:dyDescent="0.25">
      <c r="F520" s="9"/>
      <c r="G520"/>
      <c r="H520"/>
      <c r="J520"/>
      <c r="K520"/>
      <c r="P520" s="17"/>
      <c r="Q520" s="17"/>
      <c r="R520" s="17"/>
      <c r="S520" s="17"/>
      <c r="T520" s="10"/>
      <c r="U520" s="10"/>
      <c r="V520" s="10"/>
      <c r="X520" s="11"/>
    </row>
    <row r="521" spans="6:24" x14ac:dyDescent="0.25">
      <c r="F521" s="9"/>
      <c r="G521"/>
      <c r="H521"/>
      <c r="J521"/>
      <c r="K521"/>
      <c r="P521" s="17"/>
      <c r="Q521" s="17"/>
      <c r="R521" s="17"/>
      <c r="S521" s="17"/>
      <c r="T521" s="10"/>
      <c r="U521" s="10"/>
      <c r="V521" s="10"/>
      <c r="X521" s="11"/>
    </row>
    <row r="522" spans="6:24" x14ac:dyDescent="0.25">
      <c r="F522" s="9"/>
      <c r="G522"/>
      <c r="H522"/>
      <c r="J522"/>
      <c r="K522"/>
      <c r="P522" s="17"/>
      <c r="Q522" s="17"/>
      <c r="R522" s="17"/>
      <c r="S522" s="17"/>
      <c r="T522" s="10"/>
      <c r="U522" s="10"/>
      <c r="V522" s="10"/>
      <c r="X522" s="11"/>
    </row>
    <row r="523" spans="6:24" x14ac:dyDescent="0.25">
      <c r="F523" s="9"/>
      <c r="G523"/>
      <c r="H523"/>
      <c r="J523"/>
      <c r="K523"/>
      <c r="P523" s="17"/>
      <c r="Q523" s="17"/>
      <c r="R523" s="17"/>
      <c r="S523" s="17"/>
      <c r="T523" s="10"/>
      <c r="U523" s="10"/>
      <c r="V523" s="10"/>
      <c r="X523" s="11"/>
    </row>
    <row r="524" spans="6:24" x14ac:dyDescent="0.25">
      <c r="F524" s="9"/>
      <c r="G524"/>
      <c r="H524"/>
      <c r="J524"/>
      <c r="K524"/>
      <c r="P524" s="17"/>
      <c r="Q524" s="17"/>
      <c r="R524" s="17"/>
      <c r="S524" s="17"/>
      <c r="T524" s="10"/>
      <c r="U524" s="10"/>
      <c r="V524" s="10"/>
      <c r="X524" s="11"/>
    </row>
    <row r="526" spans="6:24" x14ac:dyDescent="0.25">
      <c r="Q526" s="31">
        <f>SUM(Q2:Q525)</f>
        <v>2256036</v>
      </c>
      <c r="R526" s="31">
        <f>SUM(R2:R525)</f>
        <v>2177914.6999999997</v>
      </c>
      <c r="S526" s="31">
        <f>SUM(S2:S525)</f>
        <v>78121.3</v>
      </c>
    </row>
  </sheetData>
  <sortState ref="A127:Z151">
    <sortCondition ref="J127:J15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IE Statement</vt:lpstr>
      <vt:lpstr>Summary_Registration Fee</vt:lpstr>
      <vt:lpstr>Sponsorship Fee</vt:lpstr>
      <vt:lpstr>Input Data_Site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Eric</dc:creator>
  <cp:lastModifiedBy>Emmanuel Eric</cp:lastModifiedBy>
  <dcterms:created xsi:type="dcterms:W3CDTF">2015-06-02T04:19:21Z</dcterms:created>
  <dcterms:modified xsi:type="dcterms:W3CDTF">2016-12-08T09:57:07Z</dcterms:modified>
</cp:coreProperties>
</file>