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0-239\DFSRoot\Data\suns\My Documents\2017 Usage Reports\JAMA\"/>
    </mc:Choice>
  </mc:AlternateContent>
  <bookViews>
    <workbookView xWindow="0" yWindow="0" windowWidth="28800" windowHeight="1258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V36" i="1" l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<sst xmlns="http://schemas.openxmlformats.org/spreadsheetml/2006/main" count="162" uniqueCount="72">
  <si>
    <t>Journal Report 1 (R4)</t>
  </si>
  <si>
    <t>Number of Successful Full-Text Article Requests by Month and Journal</t>
  </si>
  <si>
    <t>University of Toronto Libraries</t>
  </si>
  <si>
    <t xml:space="preserve"> </t>
  </si>
  <si>
    <t>Period covered by Report:</t>
  </si>
  <si>
    <t>2016-01-01 to 2016-12-31</t>
  </si>
  <si>
    <t>Date run:</t>
  </si>
  <si>
    <t>2017-07-07</t>
  </si>
  <si>
    <t>Journal</t>
  </si>
  <si>
    <t>Publisher</t>
  </si>
  <si>
    <t>Platform</t>
  </si>
  <si>
    <t>Journal DOI</t>
  </si>
  <si>
    <t>Proprietary Identifier</t>
  </si>
  <si>
    <t>Print ISSN</t>
  </si>
  <si>
    <t>Online ISSN</t>
  </si>
  <si>
    <t>Reporting Period Total</t>
  </si>
  <si>
    <t>Reporting Period HTML</t>
  </si>
  <si>
    <t>Reporting Period PDF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</si>
  <si>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</si>
  <si>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</si>
  <si>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</si>
  <si>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</si>
  <si>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</si>
  <si>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</si>
  <si>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</si>
  <si>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</si>
  <si>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</si>
  <si>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</si>
  <si>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</si>
  <si>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</si>
  <si>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Total for all journals</t>
  </si>
  <si>
    <t>Silverchair</t>
  </si>
  <si>
    <t>JAMA Network Reader</t>
  </si>
  <si>
    <t>Archives of Neurology &amp; Psychiatry</t>
  </si>
  <si>
    <t>American Medical Association</t>
  </si>
  <si>
    <t>0096-6886</t>
  </si>
  <si>
    <t>JAMA</t>
  </si>
  <si>
    <t>0098-7484</t>
  </si>
  <si>
    <t>1538-3598</t>
  </si>
  <si>
    <t>JAMA Cardiology</t>
  </si>
  <si>
    <t>2380-6583</t>
  </si>
  <si>
    <t>2380-6591</t>
  </si>
  <si>
    <t>JAMA Dermatology</t>
  </si>
  <si>
    <t>2168-6068</t>
  </si>
  <si>
    <t>2168-6084</t>
  </si>
  <si>
    <t>JAMA Facial Plastic Surgery</t>
  </si>
  <si>
    <t>2168-6076</t>
  </si>
  <si>
    <t>2168-6092</t>
  </si>
  <si>
    <t>JAMA Internal Medicine</t>
  </si>
  <si>
    <t>2168-6106</t>
  </si>
  <si>
    <t>2168-6114</t>
  </si>
  <si>
    <t>JAMA Neurology</t>
  </si>
  <si>
    <t>2168-6149</t>
  </si>
  <si>
    <t>2168-6157</t>
  </si>
  <si>
    <t>JAMA Oncology</t>
  </si>
  <si>
    <t>2374-2437</t>
  </si>
  <si>
    <t>2374-2445</t>
  </si>
  <si>
    <t>JAMA Ophthalmology</t>
  </si>
  <si>
    <t>2168-6165</t>
  </si>
  <si>
    <t>2168-6173</t>
  </si>
  <si>
    <t>JAMA Otolaryngology–Head &amp; Neck Surgery</t>
  </si>
  <si>
    <t>2168-6181</t>
  </si>
  <si>
    <t>2168-619X</t>
  </si>
  <si>
    <t>JAMA Pediatrics</t>
  </si>
  <si>
    <t>2168-6203</t>
  </si>
  <si>
    <t>2168-6211</t>
  </si>
  <si>
    <t>JAMA Psychiatry</t>
  </si>
  <si>
    <t>2168-622X</t>
  </si>
  <si>
    <t>2168-6238</t>
  </si>
  <si>
    <t>JAMA Surgery</t>
  </si>
  <si>
    <t>2168-6254</t>
  </si>
  <si>
    <t>2168-6262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</si>
</sst>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3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/>
  </sheetViews>
  <sheetFormatPr defaultRowHeight="15" x14ac:dyDescent="0.25"/>
  <cols>
    <col min="1" max="2" width="36" customWidth="1"/>
    <col min="3" max="10" width="10.7109375" customWidth="1"/>
    <col min="11" max="15" width="6" bestFit="1" customWidth="1"/>
    <col min="16" max="18" width="5.42578125" customWidth="1"/>
    <col min="19" max="21" width="6" bestFit="1" customWidth="1"/>
    <col min="22" max="22" width="5.42578125" customWidth="1"/>
    <col min="23" max="23" width="213.85546875" customWidth="1"/>
  </cols>
  <sheetData>
    <row r="1" spans="1:22" ht="15.95" customHeight="1" x14ac:dyDescent="0.25">
      <c r="A1" s="1" t="s">
        <v>0</v>
      </c>
      <c r="B1" s="1" t="s">
        <v>1</v>
      </c>
    </row>
    <row r="2" spans="1:22" ht="15.95" customHeight="1" x14ac:dyDescent="0.25">
      <c r="A2" s="1" t="s">
        <v>2</v>
      </c>
    </row>
    <row r="3" spans="1:22" ht="15.95" customHeight="1" x14ac:dyDescent="0.25">
      <c r="A3" s="1" t="s">
        <v>3</v>
      </c>
    </row>
    <row r="4" spans="1:22" ht="15.95" customHeight="1" x14ac:dyDescent="0.25">
      <c r="A4" s="1" t="s">
        <v>4</v>
      </c>
    </row>
    <row r="5" spans="1:22" ht="15.95" customHeight="1" x14ac:dyDescent="0.25">
      <c r="A5" s="1" t="s">
        <v>5</v>
      </c>
    </row>
    <row r="6" spans="1:22" ht="15.95" customHeight="1" x14ac:dyDescent="0.25">
      <c r="A6" s="1" t="s">
        <v>6</v>
      </c>
    </row>
    <row r="7" spans="1:22" ht="12" customHeight="1" x14ac:dyDescent="0.25">
      <c r="A7" s="1" t="s">
        <v>7</v>
      </c>
    </row>
    <row r="8" spans="1:22" ht="45" customHeight="1" x14ac:dyDescent="0.25">
      <c r="A8" s="2" t="s">
        <v>8</v>
      </c>
      <c r="B8" s="2" t="s">
        <v>9</v>
      </c>
      <c r="C8" s="2" t="s">
        <v>10</v>
      </c>
      <c r="D8" s="2" t="s">
        <v>11</v>
      </c>
      <c r="E8" s="3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Q8" s="3" t="s">
        <v>24</v>
      </c>
      <c r="R8" s="3" t="s">
        <v>25</v>
      </c>
      <c r="S8" s="3" t="s">
        <v>26</v>
      </c>
      <c r="T8" s="3" t="s">
        <v>27</v>
      </c>
      <c r="U8" s="3" t="s">
        <v>28</v>
      </c>
      <c r="V8" s="3" t="s">
        <v>29</v>
      </c>
    </row>
    <row r="9" spans="1:22" ht="15" customHeight="1" x14ac:dyDescent="0.25">
      <c r="A9" s="4" t="s">
        <v>30</v>
      </c>
      <c r="B9" s="4"/>
      <c r="C9" s="4" t="s">
        <v>31</v>
      </c>
      <c r="D9" s="4"/>
      <c r="E9" s="4"/>
      <c r="F9" s="4"/>
      <c r="G9" s="4"/>
      <c r="H9" s="4">
        <f>146498</f>
        <v>146498</v>
      </c>
      <c r="I9" s="4">
        <f>98004</f>
        <v>98004</v>
      </c>
      <c r="J9" s="4">
        <f>48494</f>
        <v>48494</v>
      </c>
      <c r="K9" s="4">
        <f>13875</f>
        <v>13875</v>
      </c>
      <c r="L9" s="4">
        <f>15881</f>
        <v>15881</v>
      </c>
      <c r="M9" s="4">
        <f>16476</f>
        <v>16476</v>
      </c>
      <c r="N9" s="4">
        <f>11757</f>
        <v>11757</v>
      </c>
      <c r="O9" s="4">
        <f>10133</f>
        <v>10133</v>
      </c>
      <c r="P9" s="4">
        <f>8948</f>
        <v>8948</v>
      </c>
      <c r="Q9" s="4">
        <f>9788</f>
        <v>9788</v>
      </c>
      <c r="R9" s="4">
        <f>9570</f>
        <v>9570</v>
      </c>
      <c r="S9" s="4">
        <f>11077</f>
        <v>11077</v>
      </c>
      <c r="T9" s="4">
        <f>13989</f>
        <v>13989</v>
      </c>
      <c r="U9" s="4">
        <f>15998</f>
        <v>15998</v>
      </c>
      <c r="V9" s="4">
        <f>9006</f>
        <v>9006</v>
      </c>
    </row>
    <row r="10" spans="1:22" ht="15" customHeight="1" x14ac:dyDescent="0.25">
      <c r="A10" s="4" t="s">
        <v>30</v>
      </c>
      <c r="B10" s="4"/>
      <c r="C10" s="4" t="s">
        <v>32</v>
      </c>
      <c r="D10" s="4"/>
      <c r="E10" s="4"/>
      <c r="F10" s="4"/>
      <c r="G10" s="4"/>
      <c r="H10" s="4">
        <f>53</f>
        <v>53</v>
      </c>
      <c r="I10" s="4">
        <f>53</f>
        <v>53</v>
      </c>
      <c r="J10" s="4">
        <f>0</f>
        <v>0</v>
      </c>
      <c r="K10" s="4">
        <f>12</f>
        <v>12</v>
      </c>
      <c r="L10" s="4">
        <f>4</f>
        <v>4</v>
      </c>
      <c r="M10" s="4">
        <f>1</f>
        <v>1</v>
      </c>
      <c r="N10" s="4">
        <f>0</f>
        <v>0</v>
      </c>
      <c r="O10" s="4">
        <f>1</f>
        <v>1</v>
      </c>
      <c r="P10" s="4">
        <f>3</f>
        <v>3</v>
      </c>
      <c r="Q10" s="4">
        <f>1</f>
        <v>1</v>
      </c>
      <c r="R10" s="4">
        <f>0</f>
        <v>0</v>
      </c>
      <c r="S10" s="4">
        <f>1</f>
        <v>1</v>
      </c>
      <c r="T10" s="4">
        <f>20</f>
        <v>20</v>
      </c>
      <c r="U10" s="4">
        <f>2</f>
        <v>2</v>
      </c>
      <c r="V10" s="4">
        <f>8</f>
        <v>8</v>
      </c>
    </row>
    <row r="11" spans="1:22" ht="15" customHeight="1" x14ac:dyDescent="0.25">
      <c r="A11" s="5" t="s">
        <v>33</v>
      </c>
      <c r="B11" s="5" t="s">
        <v>34</v>
      </c>
      <c r="C11" s="5" t="s">
        <v>31</v>
      </c>
      <c r="D11" s="5"/>
      <c r="E11" s="5"/>
      <c r="F11" s="5" t="s">
        <v>35</v>
      </c>
      <c r="G11" s="5"/>
      <c r="H11" s="5">
        <f>355</f>
        <v>355</v>
      </c>
      <c r="I11" s="5">
        <f>243</f>
        <v>243</v>
      </c>
      <c r="J11" s="5">
        <f>112</f>
        <v>112</v>
      </c>
      <c r="K11" s="5">
        <f>203</f>
        <v>203</v>
      </c>
      <c r="L11" s="5">
        <f>19</f>
        <v>19</v>
      </c>
      <c r="M11" s="5">
        <f>16</f>
        <v>16</v>
      </c>
      <c r="N11" s="5">
        <f>13</f>
        <v>13</v>
      </c>
      <c r="O11" s="5">
        <f>3</f>
        <v>3</v>
      </c>
      <c r="P11" s="5">
        <f>7</f>
        <v>7</v>
      </c>
      <c r="Q11" s="5">
        <f>4</f>
        <v>4</v>
      </c>
      <c r="R11" s="5">
        <f>16</f>
        <v>16</v>
      </c>
      <c r="S11" s="5">
        <f>15</f>
        <v>15</v>
      </c>
      <c r="T11" s="5">
        <f>7</f>
        <v>7</v>
      </c>
      <c r="U11" s="5">
        <f>34</f>
        <v>34</v>
      </c>
      <c r="V11" s="5">
        <f>18</f>
        <v>18</v>
      </c>
    </row>
    <row r="12" spans="1:22" ht="15" customHeight="1" x14ac:dyDescent="0.25">
      <c r="A12" s="5" t="s">
        <v>33</v>
      </c>
      <c r="B12" s="5" t="s">
        <v>34</v>
      </c>
      <c r="C12" s="5" t="s">
        <v>32</v>
      </c>
      <c r="D12" s="5"/>
      <c r="E12" s="5"/>
      <c r="F12" s="5" t="s">
        <v>35</v>
      </c>
      <c r="G12" s="5"/>
      <c r="H12" s="5">
        <f>0</f>
        <v>0</v>
      </c>
      <c r="I12" s="5">
        <f>0</f>
        <v>0</v>
      </c>
      <c r="J12" s="5">
        <f>0</f>
        <v>0</v>
      </c>
      <c r="K12" s="5">
        <f>0</f>
        <v>0</v>
      </c>
      <c r="L12" s="5">
        <f>0</f>
        <v>0</v>
      </c>
      <c r="M12" s="5">
        <f>0</f>
        <v>0</v>
      </c>
      <c r="N12" s="5">
        <f>0</f>
        <v>0</v>
      </c>
      <c r="O12" s="5">
        <f>0</f>
        <v>0</v>
      </c>
      <c r="P12" s="5">
        <f>0</f>
        <v>0</v>
      </c>
      <c r="Q12" s="5">
        <f>0</f>
        <v>0</v>
      </c>
      <c r="R12" s="5">
        <f>0</f>
        <v>0</v>
      </c>
      <c r="S12" s="5">
        <f>0</f>
        <v>0</v>
      </c>
      <c r="T12" s="5">
        <f>0</f>
        <v>0</v>
      </c>
      <c r="U12" s="5">
        <f>0</f>
        <v>0</v>
      </c>
      <c r="V12" s="5">
        <f>0</f>
        <v>0</v>
      </c>
    </row>
    <row r="13" spans="1:22" ht="15" customHeight="1" x14ac:dyDescent="0.25">
      <c r="A13" s="5" t="s">
        <v>36</v>
      </c>
      <c r="B13" s="5" t="s">
        <v>34</v>
      </c>
      <c r="C13" s="5" t="s">
        <v>31</v>
      </c>
      <c r="D13" s="5"/>
      <c r="E13" s="5"/>
      <c r="F13" s="5" t="s">
        <v>37</v>
      </c>
      <c r="G13" s="5" t="s">
        <v>38</v>
      </c>
      <c r="H13" s="5">
        <f>80332</f>
        <v>80332</v>
      </c>
      <c r="I13" s="5">
        <f>54986</f>
        <v>54986</v>
      </c>
      <c r="J13" s="5">
        <f>25346</f>
        <v>25346</v>
      </c>
      <c r="K13" s="5">
        <f>8248</f>
        <v>8248</v>
      </c>
      <c r="L13" s="5">
        <f>8729</f>
        <v>8729</v>
      </c>
      <c r="M13" s="5">
        <f>9314</f>
        <v>9314</v>
      </c>
      <c r="N13" s="5">
        <f>6647</f>
        <v>6647</v>
      </c>
      <c r="O13" s="5">
        <f>5643</f>
        <v>5643</v>
      </c>
      <c r="P13" s="5">
        <f>4280</f>
        <v>4280</v>
      </c>
      <c r="Q13" s="5">
        <f>5419</f>
        <v>5419</v>
      </c>
      <c r="R13" s="5">
        <f>5182</f>
        <v>5182</v>
      </c>
      <c r="S13" s="5">
        <f>5708</f>
        <v>5708</v>
      </c>
      <c r="T13" s="5">
        <f>7929</f>
        <v>7929</v>
      </c>
      <c r="U13" s="5">
        <f>8747</f>
        <v>8747</v>
      </c>
      <c r="V13" s="5">
        <f>4486</f>
        <v>4486</v>
      </c>
    </row>
    <row r="14" spans="1:22" ht="15" customHeight="1" x14ac:dyDescent="0.25">
      <c r="A14" s="5" t="s">
        <v>36</v>
      </c>
      <c r="B14" s="5" t="s">
        <v>34</v>
      </c>
      <c r="C14" s="5" t="s">
        <v>32</v>
      </c>
      <c r="D14" s="5"/>
      <c r="E14" s="5"/>
      <c r="F14" s="5" t="s">
        <v>37</v>
      </c>
      <c r="G14" s="5" t="s">
        <v>38</v>
      </c>
      <c r="H14" s="5">
        <f>10</f>
        <v>10</v>
      </c>
      <c r="I14" s="5">
        <f>10</f>
        <v>10</v>
      </c>
      <c r="J14" s="5">
        <f>0</f>
        <v>0</v>
      </c>
      <c r="K14" s="5">
        <f>0</f>
        <v>0</v>
      </c>
      <c r="L14" s="5">
        <f>2</f>
        <v>2</v>
      </c>
      <c r="M14" s="5">
        <f>0</f>
        <v>0</v>
      </c>
      <c r="N14" s="5">
        <f>0</f>
        <v>0</v>
      </c>
      <c r="O14" s="5">
        <f>1</f>
        <v>1</v>
      </c>
      <c r="P14" s="5">
        <f>0</f>
        <v>0</v>
      </c>
      <c r="Q14" s="5">
        <f>1</f>
        <v>1</v>
      </c>
      <c r="R14" s="5">
        <f>0</f>
        <v>0</v>
      </c>
      <c r="S14" s="5">
        <f>0</f>
        <v>0</v>
      </c>
      <c r="T14" s="5">
        <f>0</f>
        <v>0</v>
      </c>
      <c r="U14" s="5">
        <f>1</f>
        <v>1</v>
      </c>
      <c r="V14" s="5">
        <f>5</f>
        <v>5</v>
      </c>
    </row>
    <row r="15" spans="1:22" ht="15" customHeight="1" x14ac:dyDescent="0.25">
      <c r="A15" s="5" t="s">
        <v>39</v>
      </c>
      <c r="B15" s="5" t="s">
        <v>34</v>
      </c>
      <c r="C15" s="5" t="s">
        <v>31</v>
      </c>
      <c r="D15" s="5"/>
      <c r="E15" s="5"/>
      <c r="F15" s="5" t="s">
        <v>40</v>
      </c>
      <c r="G15" s="5" t="s">
        <v>41</v>
      </c>
      <c r="H15" s="5">
        <f>792</f>
        <v>792</v>
      </c>
      <c r="I15" s="5">
        <f>377</f>
        <v>377</v>
      </c>
      <c r="J15" s="5">
        <f>415</f>
        <v>415</v>
      </c>
      <c r="K15" s="5">
        <f>0</f>
        <v>0</v>
      </c>
      <c r="L15" s="5">
        <f>8</f>
        <v>8</v>
      </c>
      <c r="M15" s="5">
        <f>28</f>
        <v>28</v>
      </c>
      <c r="N15" s="5">
        <f>73</f>
        <v>73</v>
      </c>
      <c r="O15" s="5">
        <f>27</f>
        <v>27</v>
      </c>
      <c r="P15" s="5">
        <f>42</f>
        <v>42</v>
      </c>
      <c r="Q15" s="5">
        <f>103</f>
        <v>103</v>
      </c>
      <c r="R15" s="5">
        <f>88</f>
        <v>88</v>
      </c>
      <c r="S15" s="5">
        <f>111</f>
        <v>111</v>
      </c>
      <c r="T15" s="5">
        <f>164</f>
        <v>164</v>
      </c>
      <c r="U15" s="5">
        <f>75</f>
        <v>75</v>
      </c>
      <c r="V15" s="5">
        <f>73</f>
        <v>73</v>
      </c>
    </row>
    <row r="16" spans="1:22" ht="15" customHeight="1" x14ac:dyDescent="0.25">
      <c r="A16" s="5" t="s">
        <v>39</v>
      </c>
      <c r="B16" s="5" t="s">
        <v>34</v>
      </c>
      <c r="C16" s="5" t="s">
        <v>32</v>
      </c>
      <c r="D16" s="5"/>
      <c r="E16" s="5"/>
      <c r="F16" s="5" t="s">
        <v>40</v>
      </c>
      <c r="G16" s="5" t="s">
        <v>41</v>
      </c>
      <c r="H16" s="5">
        <f>6</f>
        <v>6</v>
      </c>
      <c r="I16" s="5">
        <f>6</f>
        <v>6</v>
      </c>
      <c r="J16" s="5">
        <f>0</f>
        <v>0</v>
      </c>
      <c r="K16" s="5">
        <f>0</f>
        <v>0</v>
      </c>
      <c r="L16" s="5">
        <f>0</f>
        <v>0</v>
      </c>
      <c r="M16" s="5">
        <f>0</f>
        <v>0</v>
      </c>
      <c r="N16" s="5">
        <f>0</f>
        <v>0</v>
      </c>
      <c r="O16" s="5">
        <f>0</f>
        <v>0</v>
      </c>
      <c r="P16" s="5">
        <f>0</f>
        <v>0</v>
      </c>
      <c r="Q16" s="5">
        <f>0</f>
        <v>0</v>
      </c>
      <c r="R16" s="5">
        <f>0</f>
        <v>0</v>
      </c>
      <c r="S16" s="5">
        <f>0</f>
        <v>0</v>
      </c>
      <c r="T16" s="5">
        <f>6</f>
        <v>6</v>
      </c>
      <c r="U16" s="5">
        <f>0</f>
        <v>0</v>
      </c>
      <c r="V16" s="5">
        <f>0</f>
        <v>0</v>
      </c>
    </row>
    <row r="17" spans="1:22" ht="15" customHeight="1" x14ac:dyDescent="0.25">
      <c r="A17" s="5" t="s">
        <v>42</v>
      </c>
      <c r="B17" s="5" t="s">
        <v>34</v>
      </c>
      <c r="C17" s="5" t="s">
        <v>31</v>
      </c>
      <c r="D17" s="5"/>
      <c r="E17" s="5"/>
      <c r="F17" s="5" t="s">
        <v>43</v>
      </c>
      <c r="G17" s="5" t="s">
        <v>44</v>
      </c>
      <c r="H17" s="5">
        <f>4652</f>
        <v>4652</v>
      </c>
      <c r="I17" s="5">
        <f>3199</f>
        <v>3199</v>
      </c>
      <c r="J17" s="5">
        <f>1453</f>
        <v>1453</v>
      </c>
      <c r="K17" s="5">
        <f>348</f>
        <v>348</v>
      </c>
      <c r="L17" s="5">
        <f>434</f>
        <v>434</v>
      </c>
      <c r="M17" s="5">
        <f>471</f>
        <v>471</v>
      </c>
      <c r="N17" s="5">
        <f>400</f>
        <v>400</v>
      </c>
      <c r="O17" s="5">
        <f>449</f>
        <v>449</v>
      </c>
      <c r="P17" s="5">
        <f>483</f>
        <v>483</v>
      </c>
      <c r="Q17" s="5">
        <f>583</f>
        <v>583</v>
      </c>
      <c r="R17" s="5">
        <f>235</f>
        <v>235</v>
      </c>
      <c r="S17" s="5">
        <f>267</f>
        <v>267</v>
      </c>
      <c r="T17" s="5">
        <f>394</f>
        <v>394</v>
      </c>
      <c r="U17" s="5">
        <f>348</f>
        <v>348</v>
      </c>
      <c r="V17" s="5">
        <f>240</f>
        <v>240</v>
      </c>
    </row>
    <row r="18" spans="1:22" ht="15" customHeight="1" x14ac:dyDescent="0.25">
      <c r="A18" s="5" t="s">
        <v>42</v>
      </c>
      <c r="B18" s="5" t="s">
        <v>34</v>
      </c>
      <c r="C18" s="5" t="s">
        <v>32</v>
      </c>
      <c r="D18" s="5"/>
      <c r="E18" s="5"/>
      <c r="F18" s="5" t="s">
        <v>43</v>
      </c>
      <c r="G18" s="5" t="s">
        <v>44</v>
      </c>
      <c r="H18" s="5">
        <f>2</f>
        <v>2</v>
      </c>
      <c r="I18" s="5">
        <f>2</f>
        <v>2</v>
      </c>
      <c r="J18" s="5">
        <f>0</f>
        <v>0</v>
      </c>
      <c r="K18" s="5">
        <f>0</f>
        <v>0</v>
      </c>
      <c r="L18" s="5">
        <f>0</f>
        <v>0</v>
      </c>
      <c r="M18" s="5">
        <f>0</f>
        <v>0</v>
      </c>
      <c r="N18" s="5">
        <f>0</f>
        <v>0</v>
      </c>
      <c r="O18" s="5">
        <f>0</f>
        <v>0</v>
      </c>
      <c r="P18" s="5">
        <f>0</f>
        <v>0</v>
      </c>
      <c r="Q18" s="5">
        <f>0</f>
        <v>0</v>
      </c>
      <c r="R18" s="5">
        <f>0</f>
        <v>0</v>
      </c>
      <c r="S18" s="5">
        <f>0</f>
        <v>0</v>
      </c>
      <c r="T18" s="5">
        <f>1</f>
        <v>1</v>
      </c>
      <c r="U18" s="5">
        <f>1</f>
        <v>1</v>
      </c>
      <c r="V18" s="5">
        <f>0</f>
        <v>0</v>
      </c>
    </row>
    <row r="19" spans="1:22" ht="15" customHeight="1" x14ac:dyDescent="0.25">
      <c r="A19" s="5" t="s">
        <v>45</v>
      </c>
      <c r="B19" s="5" t="s">
        <v>34</v>
      </c>
      <c r="C19" s="5" t="s">
        <v>31</v>
      </c>
      <c r="D19" s="5"/>
      <c r="E19" s="5"/>
      <c r="F19" s="5" t="s">
        <v>46</v>
      </c>
      <c r="G19" s="5" t="s">
        <v>47</v>
      </c>
      <c r="H19" s="5">
        <f>884</f>
        <v>884</v>
      </c>
      <c r="I19" s="5">
        <f>386</f>
        <v>386</v>
      </c>
      <c r="J19" s="5">
        <f>498</f>
        <v>498</v>
      </c>
      <c r="K19" s="5">
        <f>40</f>
        <v>40</v>
      </c>
      <c r="L19" s="5">
        <f>406</f>
        <v>406</v>
      </c>
      <c r="M19" s="5">
        <f>48</f>
        <v>48</v>
      </c>
      <c r="N19" s="5">
        <f>30</f>
        <v>30</v>
      </c>
      <c r="O19" s="5">
        <f>48</f>
        <v>48</v>
      </c>
      <c r="P19" s="5">
        <f>26</f>
        <v>26</v>
      </c>
      <c r="Q19" s="5">
        <f>51</f>
        <v>51</v>
      </c>
      <c r="R19" s="5">
        <f>29</f>
        <v>29</v>
      </c>
      <c r="S19" s="5">
        <f>61</f>
        <v>61</v>
      </c>
      <c r="T19" s="5">
        <f>69</f>
        <v>69</v>
      </c>
      <c r="U19" s="5">
        <f>51</f>
        <v>51</v>
      </c>
      <c r="V19" s="5">
        <f>25</f>
        <v>25</v>
      </c>
    </row>
    <row r="20" spans="1:22" ht="15" customHeight="1" x14ac:dyDescent="0.25">
      <c r="A20" s="5" t="s">
        <v>45</v>
      </c>
      <c r="B20" s="5" t="s">
        <v>34</v>
      </c>
      <c r="C20" s="5" t="s">
        <v>32</v>
      </c>
      <c r="D20" s="5"/>
      <c r="E20" s="5"/>
      <c r="F20" s="5" t="s">
        <v>46</v>
      </c>
      <c r="G20" s="5" t="s">
        <v>47</v>
      </c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0</f>
        <v>0</v>
      </c>
      <c r="P20" s="5">
        <f>0</f>
        <v>0</v>
      </c>
      <c r="Q20" s="5">
        <f>0</f>
        <v>0</v>
      </c>
      <c r="R20" s="5">
        <f>0</f>
        <v>0</v>
      </c>
      <c r="S20" s="5">
        <f>0</f>
        <v>0</v>
      </c>
      <c r="T20" s="5">
        <f>0</f>
        <v>0</v>
      </c>
      <c r="U20" s="5">
        <f>0</f>
        <v>0</v>
      </c>
      <c r="V20" s="5">
        <f>0</f>
        <v>0</v>
      </c>
    </row>
    <row r="21" spans="1:22" ht="15" customHeight="1" x14ac:dyDescent="0.25">
      <c r="A21" s="5" t="s">
        <v>48</v>
      </c>
      <c r="B21" s="5" t="s">
        <v>34</v>
      </c>
      <c r="C21" s="5" t="s">
        <v>31</v>
      </c>
      <c r="D21" s="5"/>
      <c r="E21" s="5"/>
      <c r="F21" s="5" t="s">
        <v>49</v>
      </c>
      <c r="G21" s="5" t="s">
        <v>50</v>
      </c>
      <c r="H21" s="5">
        <f>18689</f>
        <v>18689</v>
      </c>
      <c r="I21" s="5">
        <f>12129</f>
        <v>12129</v>
      </c>
      <c r="J21" s="5">
        <f>6560</f>
        <v>6560</v>
      </c>
      <c r="K21" s="5">
        <f>1618</f>
        <v>1618</v>
      </c>
      <c r="L21" s="5">
        <f>1762</f>
        <v>1762</v>
      </c>
      <c r="M21" s="5">
        <f>1956</f>
        <v>1956</v>
      </c>
      <c r="N21" s="5">
        <f>1443</f>
        <v>1443</v>
      </c>
      <c r="O21" s="5">
        <f>1298</f>
        <v>1298</v>
      </c>
      <c r="P21" s="5">
        <f>1270</f>
        <v>1270</v>
      </c>
      <c r="Q21" s="5">
        <f>1169</f>
        <v>1169</v>
      </c>
      <c r="R21" s="5">
        <f>1244</f>
        <v>1244</v>
      </c>
      <c r="S21" s="5">
        <f>2160</f>
        <v>2160</v>
      </c>
      <c r="T21" s="5">
        <f>1763</f>
        <v>1763</v>
      </c>
      <c r="U21" s="5">
        <f>1787</f>
        <v>1787</v>
      </c>
      <c r="V21" s="5">
        <f>1219</f>
        <v>1219</v>
      </c>
    </row>
    <row r="22" spans="1:22" ht="15" customHeight="1" x14ac:dyDescent="0.25">
      <c r="A22" s="5" t="s">
        <v>48</v>
      </c>
      <c r="B22" s="5" t="s">
        <v>34</v>
      </c>
      <c r="C22" s="5" t="s">
        <v>32</v>
      </c>
      <c r="D22" s="5"/>
      <c r="E22" s="5"/>
      <c r="F22" s="5" t="s">
        <v>49</v>
      </c>
      <c r="G22" s="5" t="s">
        <v>50</v>
      </c>
      <c r="H22" s="5">
        <f>8</f>
        <v>8</v>
      </c>
      <c r="I22" s="5">
        <f>8</f>
        <v>8</v>
      </c>
      <c r="J22" s="5">
        <f>0</f>
        <v>0</v>
      </c>
      <c r="K22" s="5">
        <f>0</f>
        <v>0</v>
      </c>
      <c r="L22" s="5">
        <f>0</f>
        <v>0</v>
      </c>
      <c r="M22" s="5">
        <f>1</f>
        <v>1</v>
      </c>
      <c r="N22" s="5">
        <f>0</f>
        <v>0</v>
      </c>
      <c r="O22" s="5">
        <f>0</f>
        <v>0</v>
      </c>
      <c r="P22" s="5">
        <f>1</f>
        <v>1</v>
      </c>
      <c r="Q22" s="5">
        <f>0</f>
        <v>0</v>
      </c>
      <c r="R22" s="5">
        <f>0</f>
        <v>0</v>
      </c>
      <c r="S22" s="5">
        <f>0</f>
        <v>0</v>
      </c>
      <c r="T22" s="5">
        <f>6</f>
        <v>6</v>
      </c>
      <c r="U22" s="5">
        <f>0</f>
        <v>0</v>
      </c>
      <c r="V22" s="5">
        <f>0</f>
        <v>0</v>
      </c>
    </row>
    <row r="23" spans="1:22" ht="15" customHeight="1" x14ac:dyDescent="0.25">
      <c r="A23" s="5" t="s">
        <v>51</v>
      </c>
      <c r="B23" s="5" t="s">
        <v>34</v>
      </c>
      <c r="C23" s="5" t="s">
        <v>31</v>
      </c>
      <c r="D23" s="5"/>
      <c r="E23" s="5"/>
      <c r="F23" s="5" t="s">
        <v>52</v>
      </c>
      <c r="G23" s="5" t="s">
        <v>53</v>
      </c>
      <c r="H23" s="5">
        <f>7205</f>
        <v>7205</v>
      </c>
      <c r="I23" s="5">
        <f>4500</f>
        <v>4500</v>
      </c>
      <c r="J23" s="5">
        <f>2705</f>
        <v>2705</v>
      </c>
      <c r="K23" s="5">
        <f>690</f>
        <v>690</v>
      </c>
      <c r="L23" s="5">
        <f>683</f>
        <v>683</v>
      </c>
      <c r="M23" s="5">
        <f>902</f>
        <v>902</v>
      </c>
      <c r="N23" s="5">
        <f>556</f>
        <v>556</v>
      </c>
      <c r="O23" s="5">
        <f>585</f>
        <v>585</v>
      </c>
      <c r="P23" s="5">
        <f>524</f>
        <v>524</v>
      </c>
      <c r="Q23" s="5">
        <f>478</f>
        <v>478</v>
      </c>
      <c r="R23" s="5">
        <f>549</f>
        <v>549</v>
      </c>
      <c r="S23" s="5">
        <f>475</f>
        <v>475</v>
      </c>
      <c r="T23" s="5">
        <f>484</f>
        <v>484</v>
      </c>
      <c r="U23" s="5">
        <f>756</f>
        <v>756</v>
      </c>
      <c r="V23" s="5">
        <f>523</f>
        <v>523</v>
      </c>
    </row>
    <row r="24" spans="1:22" ht="15" customHeight="1" x14ac:dyDescent="0.25">
      <c r="A24" s="5" t="s">
        <v>51</v>
      </c>
      <c r="B24" s="5" t="s">
        <v>34</v>
      </c>
      <c r="C24" s="5" t="s">
        <v>32</v>
      </c>
      <c r="D24" s="5"/>
      <c r="E24" s="5"/>
      <c r="F24" s="5" t="s">
        <v>52</v>
      </c>
      <c r="G24" s="5" t="s">
        <v>53</v>
      </c>
      <c r="H24" s="5">
        <f>0</f>
        <v>0</v>
      </c>
      <c r="I24" s="5">
        <f>0</f>
        <v>0</v>
      </c>
      <c r="J24" s="5">
        <f>0</f>
        <v>0</v>
      </c>
      <c r="K24" s="5">
        <f>0</f>
        <v>0</v>
      </c>
      <c r="L24" s="5">
        <f>0</f>
        <v>0</v>
      </c>
      <c r="M24" s="5">
        <f>0</f>
        <v>0</v>
      </c>
      <c r="N24" s="5">
        <f>0</f>
        <v>0</v>
      </c>
      <c r="O24" s="5">
        <f>0</f>
        <v>0</v>
      </c>
      <c r="P24" s="5">
        <f>0</f>
        <v>0</v>
      </c>
      <c r="Q24" s="5">
        <f>0</f>
        <v>0</v>
      </c>
      <c r="R24" s="5">
        <f>0</f>
        <v>0</v>
      </c>
      <c r="S24" s="5">
        <f>0</f>
        <v>0</v>
      </c>
      <c r="T24" s="5">
        <f>0</f>
        <v>0</v>
      </c>
      <c r="U24" s="5">
        <f>0</f>
        <v>0</v>
      </c>
      <c r="V24" s="5">
        <f>0</f>
        <v>0</v>
      </c>
    </row>
    <row r="25" spans="1:22" ht="15" customHeight="1" x14ac:dyDescent="0.25">
      <c r="A25" s="5" t="s">
        <v>54</v>
      </c>
      <c r="B25" s="5" t="s">
        <v>34</v>
      </c>
      <c r="C25" s="5" t="s">
        <v>31</v>
      </c>
      <c r="D25" s="5"/>
      <c r="E25" s="5"/>
      <c r="F25" s="5" t="s">
        <v>55</v>
      </c>
      <c r="G25" s="5" t="s">
        <v>56</v>
      </c>
      <c r="H25" s="5">
        <f>1843</f>
        <v>1843</v>
      </c>
      <c r="I25" s="5">
        <f>1240</f>
        <v>1240</v>
      </c>
      <c r="J25" s="5">
        <f>603</f>
        <v>603</v>
      </c>
      <c r="K25" s="5">
        <f>96</f>
        <v>96</v>
      </c>
      <c r="L25" s="5">
        <f>57</f>
        <v>57</v>
      </c>
      <c r="M25" s="5">
        <f>61</f>
        <v>61</v>
      </c>
      <c r="N25" s="5">
        <f>93</f>
        <v>93</v>
      </c>
      <c r="O25" s="5">
        <f>79</f>
        <v>79</v>
      </c>
      <c r="P25" s="5">
        <f>64</f>
        <v>64</v>
      </c>
      <c r="Q25" s="5">
        <f>70</f>
        <v>70</v>
      </c>
      <c r="R25" s="5">
        <f>196</f>
        <v>196</v>
      </c>
      <c r="S25" s="5">
        <f>216</f>
        <v>216</v>
      </c>
      <c r="T25" s="5">
        <f>334</f>
        <v>334</v>
      </c>
      <c r="U25" s="5">
        <f>287</f>
        <v>287</v>
      </c>
      <c r="V25" s="5">
        <f>290</f>
        <v>290</v>
      </c>
    </row>
    <row r="26" spans="1:22" ht="15" customHeight="1" x14ac:dyDescent="0.25">
      <c r="A26" s="5" t="s">
        <v>54</v>
      </c>
      <c r="B26" s="5" t="s">
        <v>34</v>
      </c>
      <c r="C26" s="5" t="s">
        <v>32</v>
      </c>
      <c r="D26" s="5"/>
      <c r="E26" s="5"/>
      <c r="F26" s="5" t="s">
        <v>55</v>
      </c>
      <c r="G26" s="5" t="s">
        <v>56</v>
      </c>
      <c r="H26" s="5">
        <f>13</f>
        <v>13</v>
      </c>
      <c r="I26" s="5">
        <f>13</f>
        <v>13</v>
      </c>
      <c r="J26" s="5">
        <f>0</f>
        <v>0</v>
      </c>
      <c r="K26" s="5">
        <f>11</f>
        <v>11</v>
      </c>
      <c r="L26" s="5">
        <f>0</f>
        <v>0</v>
      </c>
      <c r="M26" s="5">
        <f>0</f>
        <v>0</v>
      </c>
      <c r="N26" s="5">
        <f>0</f>
        <v>0</v>
      </c>
      <c r="O26" s="5">
        <f>0</f>
        <v>0</v>
      </c>
      <c r="P26" s="5">
        <f>0</f>
        <v>0</v>
      </c>
      <c r="Q26" s="5">
        <f>0</f>
        <v>0</v>
      </c>
      <c r="R26" s="5">
        <f>0</f>
        <v>0</v>
      </c>
      <c r="S26" s="5">
        <f>0</f>
        <v>0</v>
      </c>
      <c r="T26" s="5">
        <f>1</f>
        <v>1</v>
      </c>
      <c r="U26" s="5">
        <f>0</f>
        <v>0</v>
      </c>
      <c r="V26" s="5">
        <f>1</f>
        <v>1</v>
      </c>
    </row>
    <row r="27" spans="1:22" ht="15" customHeight="1" x14ac:dyDescent="0.25">
      <c r="A27" s="5" t="s">
        <v>57</v>
      </c>
      <c r="B27" s="5" t="s">
        <v>34</v>
      </c>
      <c r="C27" s="5" t="s">
        <v>31</v>
      </c>
      <c r="D27" s="5"/>
      <c r="E27" s="5"/>
      <c r="F27" s="5" t="s">
        <v>58</v>
      </c>
      <c r="G27" s="5" t="s">
        <v>59</v>
      </c>
      <c r="H27" s="5">
        <f>3467</f>
        <v>3467</v>
      </c>
      <c r="I27" s="5">
        <f>2255</f>
        <v>2255</v>
      </c>
      <c r="J27" s="5">
        <f>1212</f>
        <v>1212</v>
      </c>
      <c r="K27" s="5">
        <f>294</f>
        <v>294</v>
      </c>
      <c r="L27" s="5">
        <f>370</f>
        <v>370</v>
      </c>
      <c r="M27" s="5">
        <f>346</f>
        <v>346</v>
      </c>
      <c r="N27" s="5">
        <f>259</f>
        <v>259</v>
      </c>
      <c r="O27" s="5">
        <f>200</f>
        <v>200</v>
      </c>
      <c r="P27" s="5">
        <f>472</f>
        <v>472</v>
      </c>
      <c r="Q27" s="5">
        <f>313</f>
        <v>313</v>
      </c>
      <c r="R27" s="5">
        <f>251</f>
        <v>251</v>
      </c>
      <c r="S27" s="5">
        <f>236</f>
        <v>236</v>
      </c>
      <c r="T27" s="5">
        <f>255</f>
        <v>255</v>
      </c>
      <c r="U27" s="5">
        <f>300</f>
        <v>300</v>
      </c>
      <c r="V27" s="5">
        <f>171</f>
        <v>171</v>
      </c>
    </row>
    <row r="28" spans="1:22" ht="15" customHeight="1" x14ac:dyDescent="0.25">
      <c r="A28" s="5" t="s">
        <v>57</v>
      </c>
      <c r="B28" s="5" t="s">
        <v>34</v>
      </c>
      <c r="C28" s="5" t="s">
        <v>32</v>
      </c>
      <c r="D28" s="5"/>
      <c r="E28" s="5"/>
      <c r="F28" s="5" t="s">
        <v>58</v>
      </c>
      <c r="G28" s="5" t="s">
        <v>59</v>
      </c>
      <c r="H28" s="5">
        <f>2</f>
        <v>2</v>
      </c>
      <c r="I28" s="5">
        <f>2</f>
        <v>2</v>
      </c>
      <c r="J28" s="5">
        <f>0</f>
        <v>0</v>
      </c>
      <c r="K28" s="5">
        <f>0</f>
        <v>0</v>
      </c>
      <c r="L28" s="5">
        <f>0</f>
        <v>0</v>
      </c>
      <c r="M28" s="5">
        <f>0</f>
        <v>0</v>
      </c>
      <c r="N28" s="5">
        <f>0</f>
        <v>0</v>
      </c>
      <c r="O28" s="5">
        <f>0</f>
        <v>0</v>
      </c>
      <c r="P28" s="5">
        <f>0</f>
        <v>0</v>
      </c>
      <c r="Q28" s="5">
        <f>0</f>
        <v>0</v>
      </c>
      <c r="R28" s="5">
        <f>0</f>
        <v>0</v>
      </c>
      <c r="S28" s="5">
        <f>0</f>
        <v>0</v>
      </c>
      <c r="T28" s="5">
        <f>1</f>
        <v>1</v>
      </c>
      <c r="U28" s="5">
        <f>0</f>
        <v>0</v>
      </c>
      <c r="V28" s="5">
        <f>1</f>
        <v>1</v>
      </c>
    </row>
    <row r="29" spans="1:22" ht="15" customHeight="1" x14ac:dyDescent="0.25">
      <c r="A29" s="5" t="s">
        <v>60</v>
      </c>
      <c r="B29" s="5" t="s">
        <v>34</v>
      </c>
      <c r="C29" s="5" t="s">
        <v>31</v>
      </c>
      <c r="D29" s="5"/>
      <c r="E29" s="5"/>
      <c r="F29" s="5" t="s">
        <v>61</v>
      </c>
      <c r="G29" s="5" t="s">
        <v>62</v>
      </c>
      <c r="H29" s="5">
        <f>1912</f>
        <v>1912</v>
      </c>
      <c r="I29" s="5">
        <f>1089</f>
        <v>1089</v>
      </c>
      <c r="J29" s="5">
        <f>823</f>
        <v>823</v>
      </c>
      <c r="K29" s="5">
        <f>166</f>
        <v>166</v>
      </c>
      <c r="L29" s="5">
        <f>246</f>
        <v>246</v>
      </c>
      <c r="M29" s="5">
        <f>188</f>
        <v>188</v>
      </c>
      <c r="N29" s="5">
        <f>172</f>
        <v>172</v>
      </c>
      <c r="O29" s="5">
        <f>164</f>
        <v>164</v>
      </c>
      <c r="P29" s="5">
        <f>146</f>
        <v>146</v>
      </c>
      <c r="Q29" s="5">
        <f>172</f>
        <v>172</v>
      </c>
      <c r="R29" s="5">
        <f>115</f>
        <v>115</v>
      </c>
      <c r="S29" s="5">
        <f>118</f>
        <v>118</v>
      </c>
      <c r="T29" s="5">
        <f>125</f>
        <v>125</v>
      </c>
      <c r="U29" s="5">
        <f>176</f>
        <v>176</v>
      </c>
      <c r="V29" s="5">
        <f>124</f>
        <v>124</v>
      </c>
    </row>
    <row r="30" spans="1:22" ht="15" customHeight="1" x14ac:dyDescent="0.25">
      <c r="A30" s="5" t="s">
        <v>60</v>
      </c>
      <c r="B30" s="5" t="s">
        <v>34</v>
      </c>
      <c r="C30" s="5" t="s">
        <v>32</v>
      </c>
      <c r="D30" s="5"/>
      <c r="E30" s="5"/>
      <c r="F30" s="5" t="s">
        <v>61</v>
      </c>
      <c r="G30" s="5" t="s">
        <v>62</v>
      </c>
      <c r="H30" s="5">
        <f>2</f>
        <v>2</v>
      </c>
      <c r="I30" s="5">
        <f>2</f>
        <v>2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0</f>
        <v>0</v>
      </c>
      <c r="P30" s="5">
        <f>1</f>
        <v>1</v>
      </c>
      <c r="Q30" s="5">
        <f>0</f>
        <v>0</v>
      </c>
      <c r="R30" s="5">
        <f>0</f>
        <v>0</v>
      </c>
      <c r="S30" s="5">
        <f>0</f>
        <v>0</v>
      </c>
      <c r="T30" s="5">
        <f>1</f>
        <v>1</v>
      </c>
      <c r="U30" s="5">
        <f>0</f>
        <v>0</v>
      </c>
      <c r="V30" s="5">
        <f>0</f>
        <v>0</v>
      </c>
    </row>
    <row r="31" spans="1:22" ht="15" customHeight="1" x14ac:dyDescent="0.25">
      <c r="A31" s="5" t="s">
        <v>63</v>
      </c>
      <c r="B31" s="5" t="s">
        <v>34</v>
      </c>
      <c r="C31" s="5" t="s">
        <v>31</v>
      </c>
      <c r="D31" s="5"/>
      <c r="E31" s="5"/>
      <c r="F31" s="5" t="s">
        <v>64</v>
      </c>
      <c r="G31" s="5" t="s">
        <v>65</v>
      </c>
      <c r="H31" s="5">
        <f>7270</f>
        <v>7270</v>
      </c>
      <c r="I31" s="5">
        <f>4938</f>
        <v>4938</v>
      </c>
      <c r="J31" s="5">
        <f>2332</f>
        <v>2332</v>
      </c>
      <c r="K31" s="5">
        <f>783</f>
        <v>783</v>
      </c>
      <c r="L31" s="5">
        <f>783</f>
        <v>783</v>
      </c>
      <c r="M31" s="5">
        <f>839</f>
        <v>839</v>
      </c>
      <c r="N31" s="5">
        <f>630</f>
        <v>630</v>
      </c>
      <c r="O31" s="5">
        <f>415</f>
        <v>415</v>
      </c>
      <c r="P31" s="5">
        <f>444</f>
        <v>444</v>
      </c>
      <c r="Q31" s="5">
        <f>397</f>
        <v>397</v>
      </c>
      <c r="R31" s="5">
        <f>515</f>
        <v>515</v>
      </c>
      <c r="S31" s="5">
        <f>530</f>
        <v>530</v>
      </c>
      <c r="T31" s="5">
        <f>621</f>
        <v>621</v>
      </c>
      <c r="U31" s="5">
        <f>853</f>
        <v>853</v>
      </c>
      <c r="V31" s="5">
        <f>460</f>
        <v>460</v>
      </c>
    </row>
    <row r="32" spans="1:22" ht="15" customHeight="1" x14ac:dyDescent="0.25">
      <c r="A32" s="5" t="s">
        <v>63</v>
      </c>
      <c r="B32" s="5" t="s">
        <v>34</v>
      </c>
      <c r="C32" s="5" t="s">
        <v>32</v>
      </c>
      <c r="D32" s="5"/>
      <c r="E32" s="5"/>
      <c r="F32" s="5" t="s">
        <v>64</v>
      </c>
      <c r="G32" s="5" t="s">
        <v>65</v>
      </c>
      <c r="H32" s="5">
        <f>4</f>
        <v>4</v>
      </c>
      <c r="I32" s="5">
        <f>4</f>
        <v>4</v>
      </c>
      <c r="J32" s="5">
        <f>0</f>
        <v>0</v>
      </c>
      <c r="K32" s="5">
        <f>1</f>
        <v>1</v>
      </c>
      <c r="L32" s="5">
        <f>1</f>
        <v>1</v>
      </c>
      <c r="M32" s="5">
        <f>0</f>
        <v>0</v>
      </c>
      <c r="N32" s="5">
        <f>0</f>
        <v>0</v>
      </c>
      <c r="O32" s="5">
        <f>0</f>
        <v>0</v>
      </c>
      <c r="P32" s="5">
        <f>0</f>
        <v>0</v>
      </c>
      <c r="Q32" s="5">
        <f>0</f>
        <v>0</v>
      </c>
      <c r="R32" s="5">
        <f>0</f>
        <v>0</v>
      </c>
      <c r="S32" s="5">
        <f>0</f>
        <v>0</v>
      </c>
      <c r="T32" s="5">
        <f>2</f>
        <v>2</v>
      </c>
      <c r="U32" s="5">
        <f>0</f>
        <v>0</v>
      </c>
      <c r="V32" s="5">
        <f>0</f>
        <v>0</v>
      </c>
    </row>
    <row r="33" spans="1:22" ht="15" customHeight="1" x14ac:dyDescent="0.25">
      <c r="A33" s="5" t="s">
        <v>66</v>
      </c>
      <c r="B33" s="5" t="s">
        <v>34</v>
      </c>
      <c r="C33" s="5" t="s">
        <v>31</v>
      </c>
      <c r="D33" s="5"/>
      <c r="E33" s="5"/>
      <c r="F33" s="5" t="s">
        <v>67</v>
      </c>
      <c r="G33" s="5" t="s">
        <v>68</v>
      </c>
      <c r="H33" s="5">
        <f>15811</f>
        <v>15811</v>
      </c>
      <c r="I33" s="5">
        <f>10607</f>
        <v>10607</v>
      </c>
      <c r="J33" s="5">
        <f>5204</f>
        <v>5204</v>
      </c>
      <c r="K33" s="5">
        <f>1130</f>
        <v>1130</v>
      </c>
      <c r="L33" s="5">
        <f>2040</f>
        <v>2040</v>
      </c>
      <c r="M33" s="5">
        <f>1942</f>
        <v>1942</v>
      </c>
      <c r="N33" s="5">
        <f>1162</f>
        <v>1162</v>
      </c>
      <c r="O33" s="5">
        <f>970</f>
        <v>970</v>
      </c>
      <c r="P33" s="5">
        <f>966</f>
        <v>966</v>
      </c>
      <c r="Q33" s="5">
        <f>765</f>
        <v>765</v>
      </c>
      <c r="R33" s="5">
        <f>866</f>
        <v>866</v>
      </c>
      <c r="S33" s="5">
        <f>930</f>
        <v>930</v>
      </c>
      <c r="T33" s="5">
        <f>1605</f>
        <v>1605</v>
      </c>
      <c r="U33" s="5">
        <f>2291</f>
        <v>2291</v>
      </c>
      <c r="V33" s="5">
        <f>1144</f>
        <v>1144</v>
      </c>
    </row>
    <row r="34" spans="1:22" ht="15" customHeight="1" x14ac:dyDescent="0.25">
      <c r="A34" s="5" t="s">
        <v>66</v>
      </c>
      <c r="B34" s="5" t="s">
        <v>34</v>
      </c>
      <c r="C34" s="5" t="s">
        <v>32</v>
      </c>
      <c r="D34" s="5"/>
      <c r="E34" s="5"/>
      <c r="F34" s="5" t="s">
        <v>67</v>
      </c>
      <c r="G34" s="5" t="s">
        <v>68</v>
      </c>
      <c r="H34" s="5">
        <f>4</f>
        <v>4</v>
      </c>
      <c r="I34" s="5">
        <f>4</f>
        <v>4</v>
      </c>
      <c r="J34" s="5">
        <f>0</f>
        <v>0</v>
      </c>
      <c r="K34" s="5">
        <f>0</f>
        <v>0</v>
      </c>
      <c r="L34" s="5">
        <f>1</f>
        <v>1</v>
      </c>
      <c r="M34" s="5">
        <f>0</f>
        <v>0</v>
      </c>
      <c r="N34" s="5">
        <f>0</f>
        <v>0</v>
      </c>
      <c r="O34" s="5">
        <f>0</f>
        <v>0</v>
      </c>
      <c r="P34" s="5">
        <f>1</f>
        <v>1</v>
      </c>
      <c r="Q34" s="5">
        <f>0</f>
        <v>0</v>
      </c>
      <c r="R34" s="5">
        <f>0</f>
        <v>0</v>
      </c>
      <c r="S34" s="5">
        <f>0</f>
        <v>0</v>
      </c>
      <c r="T34" s="5">
        <f>1</f>
        <v>1</v>
      </c>
      <c r="U34" s="5">
        <f>0</f>
        <v>0</v>
      </c>
      <c r="V34" s="5">
        <f>1</f>
        <v>1</v>
      </c>
    </row>
    <row r="35" spans="1:22" ht="15" customHeight="1" x14ac:dyDescent="0.25">
      <c r="A35" s="5" t="s">
        <v>69</v>
      </c>
      <c r="B35" s="5" t="s">
        <v>34</v>
      </c>
      <c r="C35" s="5" t="s">
        <v>31</v>
      </c>
      <c r="D35" s="5"/>
      <c r="E35" s="5"/>
      <c r="F35" s="5" t="s">
        <v>70</v>
      </c>
      <c r="G35" s="5" t="s">
        <v>71</v>
      </c>
      <c r="H35" s="5">
        <f>3286</f>
        <v>3286</v>
      </c>
      <c r="I35" s="5">
        <f>2055</f>
        <v>2055</v>
      </c>
      <c r="J35" s="5">
        <f>1231</f>
        <v>1231</v>
      </c>
      <c r="K35" s="5">
        <f>259</f>
        <v>259</v>
      </c>
      <c r="L35" s="5">
        <f>344</f>
        <v>344</v>
      </c>
      <c r="M35" s="5">
        <f>365</f>
        <v>365</v>
      </c>
      <c r="N35" s="5">
        <f>279</f>
        <v>279</v>
      </c>
      <c r="O35" s="5">
        <f>252</f>
        <v>252</v>
      </c>
      <c r="P35" s="5">
        <f>224</f>
        <v>224</v>
      </c>
      <c r="Q35" s="5">
        <f>264</f>
        <v>264</v>
      </c>
      <c r="R35" s="5">
        <f>284</f>
        <v>284</v>
      </c>
      <c r="S35" s="5">
        <f>250</f>
        <v>250</v>
      </c>
      <c r="T35" s="5">
        <f>239</f>
        <v>239</v>
      </c>
      <c r="U35" s="5">
        <f>293</f>
        <v>293</v>
      </c>
      <c r="V35" s="5">
        <f>233</f>
        <v>233</v>
      </c>
    </row>
    <row r="36" spans="1:22" ht="15" customHeight="1" x14ac:dyDescent="0.25">
      <c r="A36" s="5" t="s">
        <v>69</v>
      </c>
      <c r="B36" s="5" t="s">
        <v>34</v>
      </c>
      <c r="C36" s="5" t="s">
        <v>32</v>
      </c>
      <c r="D36" s="5"/>
      <c r="E36" s="5"/>
      <c r="F36" s="5" t="s">
        <v>70</v>
      </c>
      <c r="G36" s="5" t="s">
        <v>71</v>
      </c>
      <c r="H36" s="5">
        <f>2</f>
        <v>2</v>
      </c>
      <c r="I36" s="5">
        <f>2</f>
        <v>2</v>
      </c>
      <c r="J36" s="5">
        <f>0</f>
        <v>0</v>
      </c>
      <c r="K36" s="5">
        <f>0</f>
        <v>0</v>
      </c>
      <c r="L36" s="5">
        <f>0</f>
        <v>0</v>
      </c>
      <c r="M36" s="5">
        <f>0</f>
        <v>0</v>
      </c>
      <c r="N36" s="5">
        <f>0</f>
        <v>0</v>
      </c>
      <c r="O36" s="5">
        <f>0</f>
        <v>0</v>
      </c>
      <c r="P36" s="5">
        <f>0</f>
        <v>0</v>
      </c>
      <c r="Q36" s="5">
        <f>0</f>
        <v>0</v>
      </c>
      <c r="R36" s="5">
        <f>0</f>
        <v>0</v>
      </c>
      <c r="S36" s="5">
        <f>1</f>
        <v>1</v>
      </c>
      <c r="T36" s="5">
        <f>1</f>
        <v>1</v>
      </c>
      <c r="U36" s="5">
        <f>0</f>
        <v>0</v>
      </c>
      <c r="V36" s="5">
        <f>0</f>
        <v>0</v>
      </c>
    </row>
  </sheetData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Sandy Sun</cp:lastModifiedBy>
  <dcterms:created xsi:type="dcterms:W3CDTF">2017-07-07T14:20:39Z</dcterms:created>
  <dcterms:modified xsi:type="dcterms:W3CDTF">2017-07-07T14:25:29Z</dcterms:modified>
</cp:coreProperties>
</file>