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desa\Downloads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<sst xmlns="http://schemas.openxmlformats.org/spreadsheetml/2006/main" count="162" uniqueCount="72">
  <si>
    <t>Journal Report 1 (R4)</t>
  </si>
  <si>
    <t>Number of Successful Full-Text Article Requests by Month and Journal</t>
  </si>
  <si>
    <t>University of Toronto Libraries</t>
  </si>
  <si>
    <t xml:space="preserve"> </t>
  </si>
  <si>
    <t>Period covered by Report:</t>
  </si>
  <si>
    <t>2017-01-01 to 2017-12-31</t>
  </si>
  <si>
    <t>Date run:</t>
  </si>
  <si>
    <t>2018-02-15</t>
  </si>
  <si>
    <t>Journal</t>
  </si>
  <si>
    <t>Publisher</t>
  </si>
  <si>
    <t>Platform</t>
  </si>
  <si>
    <t>Journal DOI</t>
  </si>
  <si>
    <t>Proprietary Identifier</t>
  </si>
  <si>
    <t>Print ISSN</t>
  </si>
  <si>
    <t>Online ISSN</t>
  </si>
  <si>
    <t>Reporting Period Total</t>
  </si>
  <si>
    <t>Reporting Period HTML</t>
  </si>
  <si>
    <t>Reporting Period PDF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</si>
  <si>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</si>
  <si>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</si>
  <si>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</si>
  <si>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</si>
  <si>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</si>
  <si>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</si>
  <si>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</si>
  <si>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</si>
  <si>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</si>
  <si>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</si>
  <si>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</si>
  <si>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</si>
  <si>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Total for all journals</t>
  </si>
  <si>
    <t>Silverchair</t>
  </si>
  <si>
    <t>JAMA Network Reader</t>
  </si>
  <si>
    <t>Archives of Neurology &amp; Psychiatry</t>
  </si>
  <si>
    <t>American Medical Association</t>
  </si>
  <si>
    <t>0096-6886</t>
  </si>
  <si>
    <t>JAMA</t>
  </si>
  <si>
    <t>0098-7484</t>
  </si>
  <si>
    <t>1538-3598</t>
  </si>
  <si>
    <t>JAMA Cardiology</t>
  </si>
  <si>
    <t>2380-6583</t>
  </si>
  <si>
    <t>2380-6591</t>
  </si>
  <si>
    <t>JAMA Dermatology</t>
  </si>
  <si>
    <t>2168-6068</t>
  </si>
  <si>
    <t>2168-6084</t>
  </si>
  <si>
    <t>JAMA Facial Plastic Surgery</t>
  </si>
  <si>
    <t>2168-6076</t>
  </si>
  <si>
    <t>2168-6092</t>
  </si>
  <si>
    <t>JAMA Internal Medicine</t>
  </si>
  <si>
    <t>2168-6106</t>
  </si>
  <si>
    <t>2168-6114</t>
  </si>
  <si>
    <t>JAMA Neurology</t>
  </si>
  <si>
    <t>2168-6149</t>
  </si>
  <si>
    <t>2168-6157</t>
  </si>
  <si>
    <t>JAMA Oncology</t>
  </si>
  <si>
    <t>2374-2437</t>
  </si>
  <si>
    <t>2374-2445</t>
  </si>
  <si>
    <t>JAMA Ophthalmology</t>
  </si>
  <si>
    <t>2168-6165</t>
  </si>
  <si>
    <t>2168-6173</t>
  </si>
  <si>
    <t>JAMA Otolaryngology–Head &amp; Neck Surgery</t>
  </si>
  <si>
    <t>2168-6181</t>
  </si>
  <si>
    <t>2168-619X</t>
  </si>
  <si>
    <t>JAMA Pediatrics</t>
  </si>
  <si>
    <t>2168-6203</t>
  </si>
  <si>
    <t>2168-6211</t>
  </si>
  <si>
    <t>JAMA Psychiatry</t>
  </si>
  <si>
    <t>2168-622X</t>
  </si>
  <si>
    <t>2168-6238</t>
  </si>
  <si>
    <t>JAMA Surgery</t>
  </si>
  <si>
    <t>2168-6254</t>
  </si>
  <si>
    <t>2168-6262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</si>
</sst>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3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/>
  </sheetViews>
  <sheetFormatPr defaultRowHeight="15" x14ac:dyDescent="0.25"/>
  <cols>
    <col min="1" max="2" width="36" customWidth="1"/>
    <col min="3" max="9" width="10.7109375" customWidth="1"/>
    <col min="10" max="10" width="14" customWidth="1"/>
    <col min="11" max="22" width="8.7109375" customWidth="1"/>
    <col min="23" max="23" width="213.85546875" customWidth="1"/>
  </cols>
  <sheetData>
    <row r="1" spans="1:22" ht="15.95" customHeight="1" x14ac:dyDescent="0.25">
      <c r="A1" s="1" t="s">
        <v>0</v>
      </c>
      <c r="B1" s="1" t="s">
        <v>1</v>
      </c>
    </row>
    <row r="2" spans="1:22" ht="15.95" customHeight="1" x14ac:dyDescent="0.25">
      <c r="A2" s="1" t="s">
        <v>2</v>
      </c>
    </row>
    <row r="3" spans="1:22" ht="15.95" customHeight="1" x14ac:dyDescent="0.25">
      <c r="A3" s="1" t="s">
        <v>3</v>
      </c>
    </row>
    <row r="4" spans="1:22" ht="15.95" customHeight="1" x14ac:dyDescent="0.25">
      <c r="A4" s="1" t="s">
        <v>4</v>
      </c>
    </row>
    <row r="5" spans="1:22" ht="15.95" customHeight="1" x14ac:dyDescent="0.25">
      <c r="A5" s="1" t="s">
        <v>5</v>
      </c>
    </row>
    <row r="6" spans="1:22" ht="15.95" customHeight="1" x14ac:dyDescent="0.25">
      <c r="A6" s="1" t="s">
        <v>6</v>
      </c>
    </row>
    <row r="7" spans="1:22" ht="12" customHeight="1" x14ac:dyDescent="0.25">
      <c r="A7" s="1" t="s">
        <v>7</v>
      </c>
    </row>
    <row r="8" spans="1:22" ht="45" customHeight="1" x14ac:dyDescent="0.25">
      <c r="A8" s="2" t="s">
        <v>8</v>
      </c>
      <c r="B8" s="2" t="s">
        <v>9</v>
      </c>
      <c r="C8" s="2" t="s">
        <v>10</v>
      </c>
      <c r="D8" s="2" t="s">
        <v>11</v>
      </c>
      <c r="E8" s="3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Q8" s="3" t="s">
        <v>24</v>
      </c>
      <c r="R8" s="3" t="s">
        <v>25</v>
      </c>
      <c r="S8" s="3" t="s">
        <v>26</v>
      </c>
      <c r="T8" s="3" t="s">
        <v>27</v>
      </c>
      <c r="U8" s="3" t="s">
        <v>28</v>
      </c>
      <c r="V8" s="3" t="s">
        <v>29</v>
      </c>
    </row>
    <row r="9" spans="1:22" ht="15" customHeight="1" x14ac:dyDescent="0.25">
      <c r="A9" s="4" t="s">
        <v>30</v>
      </c>
      <c r="B9" s="4"/>
      <c r="C9" s="4" t="s">
        <v>31</v>
      </c>
      <c r="D9" s="4"/>
      <c r="E9" s="4"/>
      <c r="F9" s="4"/>
      <c r="G9" s="4"/>
      <c r="H9" s="4">
        <f>SUM(K9:V9)</f>
        <v>140963</v>
      </c>
      <c r="I9" s="4">
        <f>93878</f>
        <v>93878</v>
      </c>
      <c r="J9" s="4">
        <f>47085</f>
        <v>47085</v>
      </c>
      <c r="K9" s="4">
        <f>15302</f>
        <v>15302</v>
      </c>
      <c r="L9" s="4">
        <f>13354</f>
        <v>13354</v>
      </c>
      <c r="M9" s="4">
        <f>17221</f>
        <v>17221</v>
      </c>
      <c r="N9" s="4">
        <f>9189</f>
        <v>9189</v>
      </c>
      <c r="O9" s="4">
        <f>8025</f>
        <v>8025</v>
      </c>
      <c r="P9" s="4">
        <f>8356</f>
        <v>8356</v>
      </c>
      <c r="Q9" s="4">
        <f>8743</f>
        <v>8743</v>
      </c>
      <c r="R9" s="4">
        <f>8235</f>
        <v>8235</v>
      </c>
      <c r="S9" s="4">
        <f>11279</f>
        <v>11279</v>
      </c>
      <c r="T9" s="4">
        <f>15878</f>
        <v>15878</v>
      </c>
      <c r="U9" s="4">
        <f>16048</f>
        <v>16048</v>
      </c>
      <c r="V9" s="4">
        <f>9333</f>
        <v>9333</v>
      </c>
    </row>
    <row r="10" spans="1:22" ht="15" customHeight="1" x14ac:dyDescent="0.25">
      <c r="A10" s="4" t="s">
        <v>30</v>
      </c>
      <c r="B10" s="4"/>
      <c r="C10" s="4" t="s">
        <v>32</v>
      </c>
      <c r="D10" s="4"/>
      <c r="E10" s="4"/>
      <c r="F10" s="4"/>
      <c r="G10" s="4"/>
      <c r="H10" s="4">
        <f t="shared" ref="H10:H36" si="0">SUM(K10:V10)</f>
        <v>99</v>
      </c>
      <c r="I10" s="4">
        <f>99</f>
        <v>99</v>
      </c>
      <c r="J10" s="4">
        <f>0</f>
        <v>0</v>
      </c>
      <c r="K10" s="4">
        <f>3</f>
        <v>3</v>
      </c>
      <c r="L10" s="4">
        <f>0</f>
        <v>0</v>
      </c>
      <c r="M10" s="4">
        <f>2</f>
        <v>2</v>
      </c>
      <c r="N10" s="4">
        <f>14</f>
        <v>14</v>
      </c>
      <c r="O10" s="4">
        <f>20</f>
        <v>20</v>
      </c>
      <c r="P10" s="4">
        <f>4</f>
        <v>4</v>
      </c>
      <c r="Q10" s="4">
        <f>5</f>
        <v>5</v>
      </c>
      <c r="R10" s="4">
        <f>13</f>
        <v>13</v>
      </c>
      <c r="S10" s="4">
        <f>9</f>
        <v>9</v>
      </c>
      <c r="T10" s="4">
        <f>1</f>
        <v>1</v>
      </c>
      <c r="U10" s="4">
        <f>8</f>
        <v>8</v>
      </c>
      <c r="V10" s="4">
        <f>20</f>
        <v>20</v>
      </c>
    </row>
    <row r="11" spans="1:22" ht="15" customHeight="1" x14ac:dyDescent="0.25">
      <c r="A11" s="5" t="s">
        <v>33</v>
      </c>
      <c r="B11" s="5" t="s">
        <v>34</v>
      </c>
      <c r="C11" s="5" t="s">
        <v>31</v>
      </c>
      <c r="D11" s="5"/>
      <c r="E11" s="5"/>
      <c r="F11" s="5" t="s">
        <v>35</v>
      </c>
      <c r="G11" s="5"/>
      <c r="H11" s="6">
        <f t="shared" si="0"/>
        <v>252</v>
      </c>
      <c r="I11" s="5">
        <f>85</f>
        <v>85</v>
      </c>
      <c r="J11" s="5">
        <f>167</f>
        <v>167</v>
      </c>
      <c r="K11" s="5">
        <f>6</f>
        <v>6</v>
      </c>
      <c r="L11" s="5">
        <f>5</f>
        <v>5</v>
      </c>
      <c r="M11" s="5">
        <f>16</f>
        <v>16</v>
      </c>
      <c r="N11" s="5">
        <f>8</f>
        <v>8</v>
      </c>
      <c r="O11" s="5">
        <f>13</f>
        <v>13</v>
      </c>
      <c r="P11" s="5">
        <f>13</f>
        <v>13</v>
      </c>
      <c r="Q11" s="5">
        <f>16</f>
        <v>16</v>
      </c>
      <c r="R11" s="5">
        <f>35</f>
        <v>35</v>
      </c>
      <c r="S11" s="5">
        <f>17</f>
        <v>17</v>
      </c>
      <c r="T11" s="5">
        <f>21</f>
        <v>21</v>
      </c>
      <c r="U11" s="5">
        <f>85</f>
        <v>85</v>
      </c>
      <c r="V11" s="5">
        <f>17</f>
        <v>17</v>
      </c>
    </row>
    <row r="12" spans="1:22" ht="15" customHeight="1" x14ac:dyDescent="0.25">
      <c r="A12" s="5" t="s">
        <v>33</v>
      </c>
      <c r="B12" s="5" t="s">
        <v>34</v>
      </c>
      <c r="C12" s="5" t="s">
        <v>32</v>
      </c>
      <c r="D12" s="5"/>
      <c r="E12" s="5"/>
      <c r="F12" s="5" t="s">
        <v>35</v>
      </c>
      <c r="G12" s="5"/>
      <c r="H12" s="6">
        <f t="shared" si="0"/>
        <v>0</v>
      </c>
      <c r="I12" s="5">
        <f>0</f>
        <v>0</v>
      </c>
      <c r="J12" s="5">
        <f>0</f>
        <v>0</v>
      </c>
      <c r="K12" s="5">
        <f>0</f>
        <v>0</v>
      </c>
      <c r="L12" s="5">
        <f>0</f>
        <v>0</v>
      </c>
      <c r="M12" s="5">
        <f>0</f>
        <v>0</v>
      </c>
      <c r="N12" s="5">
        <f>0</f>
        <v>0</v>
      </c>
      <c r="O12" s="5">
        <f>0</f>
        <v>0</v>
      </c>
      <c r="P12" s="5">
        <f>0</f>
        <v>0</v>
      </c>
      <c r="Q12" s="5">
        <f>0</f>
        <v>0</v>
      </c>
      <c r="R12" s="5">
        <f>0</f>
        <v>0</v>
      </c>
      <c r="S12" s="5">
        <f>0</f>
        <v>0</v>
      </c>
      <c r="T12" s="5">
        <f>0</f>
        <v>0</v>
      </c>
      <c r="U12" s="5">
        <f>0</f>
        <v>0</v>
      </c>
      <c r="V12" s="5">
        <f>0</f>
        <v>0</v>
      </c>
    </row>
    <row r="13" spans="1:22" ht="15" customHeight="1" x14ac:dyDescent="0.25">
      <c r="A13" s="5" t="s">
        <v>36</v>
      </c>
      <c r="B13" s="5" t="s">
        <v>34</v>
      </c>
      <c r="C13" s="5" t="s">
        <v>31</v>
      </c>
      <c r="D13" s="5"/>
      <c r="E13" s="5"/>
      <c r="F13" s="5" t="s">
        <v>37</v>
      </c>
      <c r="G13" s="5" t="s">
        <v>38</v>
      </c>
      <c r="H13" s="6">
        <f t="shared" si="0"/>
        <v>69488</v>
      </c>
      <c r="I13" s="5">
        <f>47037</f>
        <v>47037</v>
      </c>
      <c r="J13" s="5">
        <f>22451</f>
        <v>22451</v>
      </c>
      <c r="K13" s="5">
        <f>8828</f>
        <v>8828</v>
      </c>
      <c r="L13" s="5">
        <f>7069</f>
        <v>7069</v>
      </c>
      <c r="M13" s="5">
        <f>9007</f>
        <v>9007</v>
      </c>
      <c r="N13" s="5">
        <f>4120</f>
        <v>4120</v>
      </c>
      <c r="O13" s="5">
        <f>3456</f>
        <v>3456</v>
      </c>
      <c r="P13" s="5">
        <f>3387</f>
        <v>3387</v>
      </c>
      <c r="Q13" s="5">
        <f>3644</f>
        <v>3644</v>
      </c>
      <c r="R13" s="5">
        <f>3360</f>
        <v>3360</v>
      </c>
      <c r="S13" s="5">
        <f>5334</f>
        <v>5334</v>
      </c>
      <c r="T13" s="5">
        <f>8386</f>
        <v>8386</v>
      </c>
      <c r="U13" s="5">
        <f>8466</f>
        <v>8466</v>
      </c>
      <c r="V13" s="5">
        <f>4431</f>
        <v>4431</v>
      </c>
    </row>
    <row r="14" spans="1:22" ht="15" customHeight="1" x14ac:dyDescent="0.25">
      <c r="A14" s="5" t="s">
        <v>36</v>
      </c>
      <c r="B14" s="5" t="s">
        <v>34</v>
      </c>
      <c r="C14" s="5" t="s">
        <v>32</v>
      </c>
      <c r="D14" s="5"/>
      <c r="E14" s="5"/>
      <c r="F14" s="5" t="s">
        <v>37</v>
      </c>
      <c r="G14" s="5" t="s">
        <v>38</v>
      </c>
      <c r="H14" s="6">
        <f t="shared" si="0"/>
        <v>24</v>
      </c>
      <c r="I14" s="5">
        <f>24</f>
        <v>24</v>
      </c>
      <c r="J14" s="5">
        <f>0</f>
        <v>0</v>
      </c>
      <c r="K14" s="5">
        <f>2</f>
        <v>2</v>
      </c>
      <c r="L14" s="5">
        <f>0</f>
        <v>0</v>
      </c>
      <c r="M14" s="5">
        <f>0</f>
        <v>0</v>
      </c>
      <c r="N14" s="5">
        <f>3</f>
        <v>3</v>
      </c>
      <c r="O14" s="5">
        <f>1</f>
        <v>1</v>
      </c>
      <c r="P14" s="5">
        <f>1</f>
        <v>1</v>
      </c>
      <c r="Q14" s="5">
        <f>1</f>
        <v>1</v>
      </c>
      <c r="R14" s="5">
        <f>2</f>
        <v>2</v>
      </c>
      <c r="S14" s="5">
        <f>3</f>
        <v>3</v>
      </c>
      <c r="T14" s="5">
        <f>0</f>
        <v>0</v>
      </c>
      <c r="U14" s="5">
        <f>7</f>
        <v>7</v>
      </c>
      <c r="V14" s="5">
        <f>4</f>
        <v>4</v>
      </c>
    </row>
    <row r="15" spans="1:22" ht="15" customHeight="1" x14ac:dyDescent="0.25">
      <c r="A15" s="5" t="s">
        <v>39</v>
      </c>
      <c r="B15" s="5" t="s">
        <v>34</v>
      </c>
      <c r="C15" s="5" t="s">
        <v>31</v>
      </c>
      <c r="D15" s="5"/>
      <c r="E15" s="5"/>
      <c r="F15" s="5" t="s">
        <v>40</v>
      </c>
      <c r="G15" s="5" t="s">
        <v>41</v>
      </c>
      <c r="H15" s="6">
        <f t="shared" si="0"/>
        <v>682</v>
      </c>
      <c r="I15" s="5">
        <f>476</f>
        <v>476</v>
      </c>
      <c r="J15" s="5">
        <f>206</f>
        <v>206</v>
      </c>
      <c r="K15" s="5">
        <f>162</f>
        <v>162</v>
      </c>
      <c r="L15" s="5">
        <f>192</f>
        <v>192</v>
      </c>
      <c r="M15" s="5">
        <f>50</f>
        <v>50</v>
      </c>
      <c r="N15" s="5">
        <f>41</f>
        <v>41</v>
      </c>
      <c r="O15" s="5">
        <f>26</f>
        <v>26</v>
      </c>
      <c r="P15" s="5">
        <f>38</f>
        <v>38</v>
      </c>
      <c r="Q15" s="5">
        <f>17</f>
        <v>17</v>
      </c>
      <c r="R15" s="5">
        <f>39</f>
        <v>39</v>
      </c>
      <c r="S15" s="5">
        <f>28</f>
        <v>28</v>
      </c>
      <c r="T15" s="5">
        <f>30</f>
        <v>30</v>
      </c>
      <c r="U15" s="5">
        <f>33</f>
        <v>33</v>
      </c>
      <c r="V15" s="5">
        <f>26</f>
        <v>26</v>
      </c>
    </row>
    <row r="16" spans="1:22" ht="15" customHeight="1" x14ac:dyDescent="0.25">
      <c r="A16" s="5" t="s">
        <v>39</v>
      </c>
      <c r="B16" s="5" t="s">
        <v>34</v>
      </c>
      <c r="C16" s="5" t="s">
        <v>32</v>
      </c>
      <c r="D16" s="5"/>
      <c r="E16" s="5"/>
      <c r="F16" s="5" t="s">
        <v>40</v>
      </c>
      <c r="G16" s="5" t="s">
        <v>41</v>
      </c>
      <c r="H16" s="6">
        <f t="shared" si="0"/>
        <v>6</v>
      </c>
      <c r="I16" s="5">
        <f>6</f>
        <v>6</v>
      </c>
      <c r="J16" s="5">
        <f>0</f>
        <v>0</v>
      </c>
      <c r="K16" s="5">
        <f>1</f>
        <v>1</v>
      </c>
      <c r="L16" s="5">
        <f>0</f>
        <v>0</v>
      </c>
      <c r="M16" s="5">
        <f>0</f>
        <v>0</v>
      </c>
      <c r="N16" s="5">
        <f>2</f>
        <v>2</v>
      </c>
      <c r="O16" s="5">
        <f>1</f>
        <v>1</v>
      </c>
      <c r="P16" s="5">
        <f>1</f>
        <v>1</v>
      </c>
      <c r="Q16" s="5">
        <f>0</f>
        <v>0</v>
      </c>
      <c r="R16" s="5">
        <f>1</f>
        <v>1</v>
      </c>
      <c r="S16" s="5">
        <f>0</f>
        <v>0</v>
      </c>
      <c r="T16" s="5">
        <f>0</f>
        <v>0</v>
      </c>
      <c r="U16" s="5">
        <f>0</f>
        <v>0</v>
      </c>
      <c r="V16" s="5">
        <f>0</f>
        <v>0</v>
      </c>
    </row>
    <row r="17" spans="1:22" ht="15" customHeight="1" x14ac:dyDescent="0.25">
      <c r="A17" s="5" t="s">
        <v>42</v>
      </c>
      <c r="B17" s="5" t="s">
        <v>34</v>
      </c>
      <c r="C17" s="5" t="s">
        <v>31</v>
      </c>
      <c r="D17" s="5"/>
      <c r="E17" s="5"/>
      <c r="F17" s="5" t="s">
        <v>43</v>
      </c>
      <c r="G17" s="5" t="s">
        <v>44</v>
      </c>
      <c r="H17" s="6">
        <f t="shared" si="0"/>
        <v>4715</v>
      </c>
      <c r="I17" s="5">
        <f>2840</f>
        <v>2840</v>
      </c>
      <c r="J17" s="5">
        <f>1875</f>
        <v>1875</v>
      </c>
      <c r="K17" s="5">
        <f>388</f>
        <v>388</v>
      </c>
      <c r="L17" s="5">
        <f>345</f>
        <v>345</v>
      </c>
      <c r="M17" s="5">
        <f>445</f>
        <v>445</v>
      </c>
      <c r="N17" s="5">
        <f>500</f>
        <v>500</v>
      </c>
      <c r="O17" s="5">
        <f>331</f>
        <v>331</v>
      </c>
      <c r="P17" s="5">
        <f>389</f>
        <v>389</v>
      </c>
      <c r="Q17" s="5">
        <f>262</f>
        <v>262</v>
      </c>
      <c r="R17" s="5">
        <f>273</f>
        <v>273</v>
      </c>
      <c r="S17" s="5">
        <f>423</f>
        <v>423</v>
      </c>
      <c r="T17" s="5">
        <f>458</f>
        <v>458</v>
      </c>
      <c r="U17" s="5">
        <f>433</f>
        <v>433</v>
      </c>
      <c r="V17" s="5">
        <f>468</f>
        <v>468</v>
      </c>
    </row>
    <row r="18" spans="1:22" ht="15" customHeight="1" x14ac:dyDescent="0.25">
      <c r="A18" s="5" t="s">
        <v>42</v>
      </c>
      <c r="B18" s="5" t="s">
        <v>34</v>
      </c>
      <c r="C18" s="5" t="s">
        <v>32</v>
      </c>
      <c r="D18" s="5"/>
      <c r="E18" s="5"/>
      <c r="F18" s="5" t="s">
        <v>43</v>
      </c>
      <c r="G18" s="5" t="s">
        <v>44</v>
      </c>
      <c r="H18" s="6">
        <f t="shared" si="0"/>
        <v>5</v>
      </c>
      <c r="I18" s="5">
        <f>5</f>
        <v>5</v>
      </c>
      <c r="J18" s="5">
        <f>0</f>
        <v>0</v>
      </c>
      <c r="K18" s="5">
        <f>0</f>
        <v>0</v>
      </c>
      <c r="L18" s="5">
        <f>0</f>
        <v>0</v>
      </c>
      <c r="M18" s="5">
        <f>0</f>
        <v>0</v>
      </c>
      <c r="N18" s="5">
        <f>1</f>
        <v>1</v>
      </c>
      <c r="O18" s="5">
        <f>0</f>
        <v>0</v>
      </c>
      <c r="P18" s="5">
        <f>0</f>
        <v>0</v>
      </c>
      <c r="Q18" s="5">
        <f>1</f>
        <v>1</v>
      </c>
      <c r="R18" s="5">
        <f>1</f>
        <v>1</v>
      </c>
      <c r="S18" s="5">
        <f>0</f>
        <v>0</v>
      </c>
      <c r="T18" s="5">
        <f>0</f>
        <v>0</v>
      </c>
      <c r="U18" s="5">
        <f>0</f>
        <v>0</v>
      </c>
      <c r="V18" s="5">
        <f>2</f>
        <v>2</v>
      </c>
    </row>
    <row r="19" spans="1:22" ht="15" customHeight="1" x14ac:dyDescent="0.25">
      <c r="A19" s="5" t="s">
        <v>45</v>
      </c>
      <c r="B19" s="5" t="s">
        <v>34</v>
      </c>
      <c r="C19" s="5" t="s">
        <v>31</v>
      </c>
      <c r="D19" s="5"/>
      <c r="E19" s="5"/>
      <c r="F19" s="5" t="s">
        <v>46</v>
      </c>
      <c r="G19" s="5" t="s">
        <v>47</v>
      </c>
      <c r="H19" s="6">
        <f t="shared" si="0"/>
        <v>724</v>
      </c>
      <c r="I19" s="5">
        <f>487</f>
        <v>487</v>
      </c>
      <c r="J19" s="5">
        <f>237</f>
        <v>237</v>
      </c>
      <c r="K19" s="5">
        <f>53</f>
        <v>53</v>
      </c>
      <c r="L19" s="5">
        <f>60</f>
        <v>60</v>
      </c>
      <c r="M19" s="5">
        <f>59</f>
        <v>59</v>
      </c>
      <c r="N19" s="5">
        <f>44</f>
        <v>44</v>
      </c>
      <c r="O19" s="5">
        <f>49</f>
        <v>49</v>
      </c>
      <c r="P19" s="5">
        <f>79</f>
        <v>79</v>
      </c>
      <c r="Q19" s="5">
        <f>45</f>
        <v>45</v>
      </c>
      <c r="R19" s="5">
        <f>77</f>
        <v>77</v>
      </c>
      <c r="S19" s="5">
        <f>68</f>
        <v>68</v>
      </c>
      <c r="T19" s="5">
        <f>89</f>
        <v>89</v>
      </c>
      <c r="U19" s="5">
        <f>63</f>
        <v>63</v>
      </c>
      <c r="V19" s="5">
        <f>38</f>
        <v>38</v>
      </c>
    </row>
    <row r="20" spans="1:22" ht="15" customHeight="1" x14ac:dyDescent="0.25">
      <c r="A20" s="5" t="s">
        <v>45</v>
      </c>
      <c r="B20" s="5" t="s">
        <v>34</v>
      </c>
      <c r="C20" s="5" t="s">
        <v>32</v>
      </c>
      <c r="D20" s="5"/>
      <c r="E20" s="5"/>
      <c r="F20" s="5" t="s">
        <v>46</v>
      </c>
      <c r="G20" s="5" t="s">
        <v>47</v>
      </c>
      <c r="H20" s="6">
        <f t="shared" si="0"/>
        <v>2</v>
      </c>
      <c r="I20" s="5">
        <f>2</f>
        <v>2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0</f>
        <v>0</v>
      </c>
      <c r="P20" s="5">
        <f>0</f>
        <v>0</v>
      </c>
      <c r="Q20" s="5">
        <f>0</f>
        <v>0</v>
      </c>
      <c r="R20" s="5">
        <f>1</f>
        <v>1</v>
      </c>
      <c r="S20" s="5">
        <f>1</f>
        <v>1</v>
      </c>
      <c r="T20" s="5">
        <f>0</f>
        <v>0</v>
      </c>
      <c r="U20" s="5">
        <f>0</f>
        <v>0</v>
      </c>
      <c r="V20" s="5">
        <f>0</f>
        <v>0</v>
      </c>
    </row>
    <row r="21" spans="1:22" ht="15" customHeight="1" x14ac:dyDescent="0.25">
      <c r="A21" s="5" t="s">
        <v>48</v>
      </c>
      <c r="B21" s="5" t="s">
        <v>34</v>
      </c>
      <c r="C21" s="5" t="s">
        <v>31</v>
      </c>
      <c r="D21" s="5"/>
      <c r="E21" s="5"/>
      <c r="F21" s="5" t="s">
        <v>49</v>
      </c>
      <c r="G21" s="5" t="s">
        <v>50</v>
      </c>
      <c r="H21" s="6">
        <f t="shared" si="0"/>
        <v>17478</v>
      </c>
      <c r="I21" s="5">
        <f>11469</f>
        <v>11469</v>
      </c>
      <c r="J21" s="5">
        <f>6009</f>
        <v>6009</v>
      </c>
      <c r="K21" s="5">
        <f>1796</f>
        <v>1796</v>
      </c>
      <c r="L21" s="5">
        <f>1710</f>
        <v>1710</v>
      </c>
      <c r="M21" s="5">
        <f>2005</f>
        <v>2005</v>
      </c>
      <c r="N21" s="5">
        <f>1134</f>
        <v>1134</v>
      </c>
      <c r="O21" s="5">
        <f>1154</f>
        <v>1154</v>
      </c>
      <c r="P21" s="5">
        <f>1188</f>
        <v>1188</v>
      </c>
      <c r="Q21" s="5">
        <f>1122</f>
        <v>1122</v>
      </c>
      <c r="R21" s="5">
        <f>1138</f>
        <v>1138</v>
      </c>
      <c r="S21" s="5">
        <f>1315</f>
        <v>1315</v>
      </c>
      <c r="T21" s="5">
        <f>1798</f>
        <v>1798</v>
      </c>
      <c r="U21" s="5">
        <f>1770</f>
        <v>1770</v>
      </c>
      <c r="V21" s="5">
        <f>1348</f>
        <v>1348</v>
      </c>
    </row>
    <row r="22" spans="1:22" ht="15" customHeight="1" x14ac:dyDescent="0.25">
      <c r="A22" s="5" t="s">
        <v>48</v>
      </c>
      <c r="B22" s="5" t="s">
        <v>34</v>
      </c>
      <c r="C22" s="5" t="s">
        <v>32</v>
      </c>
      <c r="D22" s="5"/>
      <c r="E22" s="5"/>
      <c r="F22" s="5" t="s">
        <v>49</v>
      </c>
      <c r="G22" s="5" t="s">
        <v>50</v>
      </c>
      <c r="H22" s="6">
        <f t="shared" si="0"/>
        <v>8</v>
      </c>
      <c r="I22" s="5">
        <f>8</f>
        <v>8</v>
      </c>
      <c r="J22" s="5">
        <f>0</f>
        <v>0</v>
      </c>
      <c r="K22" s="5">
        <f>0</f>
        <v>0</v>
      </c>
      <c r="L22" s="5">
        <f>0</f>
        <v>0</v>
      </c>
      <c r="M22" s="5">
        <f>0</f>
        <v>0</v>
      </c>
      <c r="N22" s="5">
        <f>1</f>
        <v>1</v>
      </c>
      <c r="O22" s="5">
        <f>1</f>
        <v>1</v>
      </c>
      <c r="P22" s="5">
        <f>0</f>
        <v>0</v>
      </c>
      <c r="Q22" s="5">
        <f>1</f>
        <v>1</v>
      </c>
      <c r="R22" s="5">
        <f>2</f>
        <v>2</v>
      </c>
      <c r="S22" s="5">
        <f>2</f>
        <v>2</v>
      </c>
      <c r="T22" s="5">
        <f>0</f>
        <v>0</v>
      </c>
      <c r="U22" s="5">
        <f>1</f>
        <v>1</v>
      </c>
      <c r="V22" s="5">
        <f>0</f>
        <v>0</v>
      </c>
    </row>
    <row r="23" spans="1:22" ht="15" customHeight="1" x14ac:dyDescent="0.25">
      <c r="A23" s="5" t="s">
        <v>51</v>
      </c>
      <c r="B23" s="5" t="s">
        <v>34</v>
      </c>
      <c r="C23" s="5" t="s">
        <v>31</v>
      </c>
      <c r="D23" s="5"/>
      <c r="E23" s="5"/>
      <c r="F23" s="5" t="s">
        <v>52</v>
      </c>
      <c r="G23" s="5" t="s">
        <v>53</v>
      </c>
      <c r="H23" s="6">
        <f t="shared" si="0"/>
        <v>7241</v>
      </c>
      <c r="I23" s="5">
        <f>4646</f>
        <v>4646</v>
      </c>
      <c r="J23" s="5">
        <f>2595</f>
        <v>2595</v>
      </c>
      <c r="K23" s="5">
        <f>594</f>
        <v>594</v>
      </c>
      <c r="L23" s="5">
        <f>569</f>
        <v>569</v>
      </c>
      <c r="M23" s="5">
        <f>954</f>
        <v>954</v>
      </c>
      <c r="N23" s="5">
        <f>595</f>
        <v>595</v>
      </c>
      <c r="O23" s="5">
        <f>415</f>
        <v>415</v>
      </c>
      <c r="P23" s="5">
        <f>487</f>
        <v>487</v>
      </c>
      <c r="Q23" s="5">
        <f>589</f>
        <v>589</v>
      </c>
      <c r="R23" s="5">
        <f>469</f>
        <v>469</v>
      </c>
      <c r="S23" s="5">
        <f>585</f>
        <v>585</v>
      </c>
      <c r="T23" s="5">
        <f>748</f>
        <v>748</v>
      </c>
      <c r="U23" s="5">
        <f>759</f>
        <v>759</v>
      </c>
      <c r="V23" s="5">
        <f>477</f>
        <v>477</v>
      </c>
    </row>
    <row r="24" spans="1:22" ht="15" customHeight="1" x14ac:dyDescent="0.25">
      <c r="A24" s="5" t="s">
        <v>51</v>
      </c>
      <c r="B24" s="5" t="s">
        <v>34</v>
      </c>
      <c r="C24" s="5" t="s">
        <v>32</v>
      </c>
      <c r="D24" s="5"/>
      <c r="E24" s="5"/>
      <c r="F24" s="5" t="s">
        <v>52</v>
      </c>
      <c r="G24" s="5" t="s">
        <v>53</v>
      </c>
      <c r="H24" s="6">
        <f t="shared" si="0"/>
        <v>5</v>
      </c>
      <c r="I24" s="5">
        <f>5</f>
        <v>5</v>
      </c>
      <c r="J24" s="5">
        <f>0</f>
        <v>0</v>
      </c>
      <c r="K24" s="5">
        <f>0</f>
        <v>0</v>
      </c>
      <c r="L24" s="5">
        <f>0</f>
        <v>0</v>
      </c>
      <c r="M24" s="5">
        <f>1</f>
        <v>1</v>
      </c>
      <c r="N24" s="5">
        <f>1</f>
        <v>1</v>
      </c>
      <c r="O24" s="5">
        <f>0</f>
        <v>0</v>
      </c>
      <c r="P24" s="5">
        <f>2</f>
        <v>2</v>
      </c>
      <c r="Q24" s="5">
        <f>1</f>
        <v>1</v>
      </c>
      <c r="R24" s="5">
        <f>0</f>
        <v>0</v>
      </c>
      <c r="S24" s="5">
        <f>0</f>
        <v>0</v>
      </c>
      <c r="T24" s="5">
        <f>0</f>
        <v>0</v>
      </c>
      <c r="U24" s="5">
        <f>0</f>
        <v>0</v>
      </c>
      <c r="V24" s="5">
        <f>0</f>
        <v>0</v>
      </c>
    </row>
    <row r="25" spans="1:22" ht="15" customHeight="1" x14ac:dyDescent="0.25">
      <c r="A25" s="5" t="s">
        <v>54</v>
      </c>
      <c r="B25" s="5" t="s">
        <v>34</v>
      </c>
      <c r="C25" s="5" t="s">
        <v>31</v>
      </c>
      <c r="D25" s="5"/>
      <c r="E25" s="5"/>
      <c r="F25" s="5" t="s">
        <v>55</v>
      </c>
      <c r="G25" s="5" t="s">
        <v>56</v>
      </c>
      <c r="H25" s="6">
        <f t="shared" si="0"/>
        <v>4614</v>
      </c>
      <c r="I25" s="5">
        <f>2864</f>
        <v>2864</v>
      </c>
      <c r="J25" s="5">
        <f>1750</f>
        <v>1750</v>
      </c>
      <c r="K25" s="5">
        <f>313</f>
        <v>313</v>
      </c>
      <c r="L25" s="5">
        <f>346</f>
        <v>346</v>
      </c>
      <c r="M25" s="5">
        <f>477</f>
        <v>477</v>
      </c>
      <c r="N25" s="5">
        <f>401</f>
        <v>401</v>
      </c>
      <c r="O25" s="5">
        <f>315</f>
        <v>315</v>
      </c>
      <c r="P25" s="5">
        <f>336</f>
        <v>336</v>
      </c>
      <c r="Q25" s="5">
        <f>507</f>
        <v>507</v>
      </c>
      <c r="R25" s="5">
        <f>342</f>
        <v>342</v>
      </c>
      <c r="S25" s="5">
        <f>383</f>
        <v>383</v>
      </c>
      <c r="T25" s="5">
        <f>457</f>
        <v>457</v>
      </c>
      <c r="U25" s="5">
        <f>419</f>
        <v>419</v>
      </c>
      <c r="V25" s="5">
        <f>318</f>
        <v>318</v>
      </c>
    </row>
    <row r="26" spans="1:22" ht="15" customHeight="1" x14ac:dyDescent="0.25">
      <c r="A26" s="5" t="s">
        <v>54</v>
      </c>
      <c r="B26" s="5" t="s">
        <v>34</v>
      </c>
      <c r="C26" s="5" t="s">
        <v>32</v>
      </c>
      <c r="D26" s="5"/>
      <c r="E26" s="5"/>
      <c r="F26" s="5" t="s">
        <v>55</v>
      </c>
      <c r="G26" s="5" t="s">
        <v>56</v>
      </c>
      <c r="H26" s="6">
        <f t="shared" si="0"/>
        <v>3</v>
      </c>
      <c r="I26" s="5">
        <f>3</f>
        <v>3</v>
      </c>
      <c r="J26" s="5">
        <f>0</f>
        <v>0</v>
      </c>
      <c r="K26" s="5">
        <f>0</f>
        <v>0</v>
      </c>
      <c r="L26" s="5">
        <f>0</f>
        <v>0</v>
      </c>
      <c r="M26" s="5">
        <f>0</f>
        <v>0</v>
      </c>
      <c r="N26" s="5">
        <f>1</f>
        <v>1</v>
      </c>
      <c r="O26" s="5">
        <f>0</f>
        <v>0</v>
      </c>
      <c r="P26" s="5">
        <f>0</f>
        <v>0</v>
      </c>
      <c r="Q26" s="5">
        <f>0</f>
        <v>0</v>
      </c>
      <c r="R26" s="5">
        <f>0</f>
        <v>0</v>
      </c>
      <c r="S26" s="5">
        <f>2</f>
        <v>2</v>
      </c>
      <c r="T26" s="5">
        <f>0</f>
        <v>0</v>
      </c>
      <c r="U26" s="5">
        <f>0</f>
        <v>0</v>
      </c>
      <c r="V26" s="5">
        <f>0</f>
        <v>0</v>
      </c>
    </row>
    <row r="27" spans="1:22" ht="15" customHeight="1" x14ac:dyDescent="0.25">
      <c r="A27" s="5" t="s">
        <v>57</v>
      </c>
      <c r="B27" s="5" t="s">
        <v>34</v>
      </c>
      <c r="C27" s="5" t="s">
        <v>31</v>
      </c>
      <c r="D27" s="5"/>
      <c r="E27" s="5"/>
      <c r="F27" s="5" t="s">
        <v>58</v>
      </c>
      <c r="G27" s="5" t="s">
        <v>59</v>
      </c>
      <c r="H27" s="6">
        <f t="shared" si="0"/>
        <v>4010</v>
      </c>
      <c r="I27" s="5">
        <f>2701</f>
        <v>2701</v>
      </c>
      <c r="J27" s="5">
        <f>1309</f>
        <v>1309</v>
      </c>
      <c r="K27" s="5">
        <f>273</f>
        <v>273</v>
      </c>
      <c r="L27" s="5">
        <f>249</f>
        <v>249</v>
      </c>
      <c r="M27" s="5">
        <f>507</f>
        <v>507</v>
      </c>
      <c r="N27" s="5">
        <f>406</f>
        <v>406</v>
      </c>
      <c r="O27" s="5">
        <f>340</f>
        <v>340</v>
      </c>
      <c r="P27" s="5">
        <f>315</f>
        <v>315</v>
      </c>
      <c r="Q27" s="5">
        <f>354</f>
        <v>354</v>
      </c>
      <c r="R27" s="5">
        <f>350</f>
        <v>350</v>
      </c>
      <c r="S27" s="5">
        <f>301</f>
        <v>301</v>
      </c>
      <c r="T27" s="5">
        <f>371</f>
        <v>371</v>
      </c>
      <c r="U27" s="5">
        <f>278</f>
        <v>278</v>
      </c>
      <c r="V27" s="5">
        <f>266</f>
        <v>266</v>
      </c>
    </row>
    <row r="28" spans="1:22" ht="15" customHeight="1" x14ac:dyDescent="0.25">
      <c r="A28" s="5" t="s">
        <v>57</v>
      </c>
      <c r="B28" s="5" t="s">
        <v>34</v>
      </c>
      <c r="C28" s="5" t="s">
        <v>32</v>
      </c>
      <c r="D28" s="5"/>
      <c r="E28" s="5"/>
      <c r="F28" s="5" t="s">
        <v>58</v>
      </c>
      <c r="G28" s="5" t="s">
        <v>59</v>
      </c>
      <c r="H28" s="6">
        <f t="shared" si="0"/>
        <v>4</v>
      </c>
      <c r="I28" s="5">
        <f>4</f>
        <v>4</v>
      </c>
      <c r="J28" s="5">
        <f>0</f>
        <v>0</v>
      </c>
      <c r="K28" s="5">
        <f>0</f>
        <v>0</v>
      </c>
      <c r="L28" s="5">
        <f>0</f>
        <v>0</v>
      </c>
      <c r="M28" s="5">
        <f>0</f>
        <v>0</v>
      </c>
      <c r="N28" s="5">
        <f>2</f>
        <v>2</v>
      </c>
      <c r="O28" s="5">
        <f>1</f>
        <v>1</v>
      </c>
      <c r="P28" s="5">
        <f>0</f>
        <v>0</v>
      </c>
      <c r="Q28" s="5">
        <f>0</f>
        <v>0</v>
      </c>
      <c r="R28" s="5">
        <f>1</f>
        <v>1</v>
      </c>
      <c r="S28" s="5">
        <f>0</f>
        <v>0</v>
      </c>
      <c r="T28" s="5">
        <f>0</f>
        <v>0</v>
      </c>
      <c r="U28" s="5">
        <f>0</f>
        <v>0</v>
      </c>
      <c r="V28" s="5">
        <f>0</f>
        <v>0</v>
      </c>
    </row>
    <row r="29" spans="1:22" ht="15" customHeight="1" x14ac:dyDescent="0.25">
      <c r="A29" s="5" t="s">
        <v>60</v>
      </c>
      <c r="B29" s="5" t="s">
        <v>34</v>
      </c>
      <c r="C29" s="5" t="s">
        <v>31</v>
      </c>
      <c r="D29" s="5"/>
      <c r="E29" s="5"/>
      <c r="F29" s="5" t="s">
        <v>61</v>
      </c>
      <c r="G29" s="5" t="s">
        <v>62</v>
      </c>
      <c r="H29" s="6">
        <f t="shared" si="0"/>
        <v>2161</v>
      </c>
      <c r="I29" s="5">
        <f>1307</f>
        <v>1307</v>
      </c>
      <c r="J29" s="5">
        <f>854</f>
        <v>854</v>
      </c>
      <c r="K29" s="5">
        <f>233</f>
        <v>233</v>
      </c>
      <c r="L29" s="5">
        <f>181</f>
        <v>181</v>
      </c>
      <c r="M29" s="5">
        <f>194</f>
        <v>194</v>
      </c>
      <c r="N29" s="5">
        <f>134</f>
        <v>134</v>
      </c>
      <c r="O29" s="5">
        <f>169</f>
        <v>169</v>
      </c>
      <c r="P29" s="5">
        <f>187</f>
        <v>187</v>
      </c>
      <c r="Q29" s="5">
        <f>127</f>
        <v>127</v>
      </c>
      <c r="R29" s="5">
        <f>182</f>
        <v>182</v>
      </c>
      <c r="S29" s="5">
        <f>137</f>
        <v>137</v>
      </c>
      <c r="T29" s="5">
        <f>212</f>
        <v>212</v>
      </c>
      <c r="U29" s="5">
        <f>204</f>
        <v>204</v>
      </c>
      <c r="V29" s="5">
        <f>201</f>
        <v>201</v>
      </c>
    </row>
    <row r="30" spans="1:22" ht="15" customHeight="1" x14ac:dyDescent="0.25">
      <c r="A30" s="5" t="s">
        <v>60</v>
      </c>
      <c r="B30" s="5" t="s">
        <v>34</v>
      </c>
      <c r="C30" s="5" t="s">
        <v>32</v>
      </c>
      <c r="D30" s="5"/>
      <c r="E30" s="5"/>
      <c r="F30" s="5" t="s">
        <v>61</v>
      </c>
      <c r="G30" s="5" t="s">
        <v>62</v>
      </c>
      <c r="H30" s="6">
        <f t="shared" si="0"/>
        <v>5</v>
      </c>
      <c r="I30" s="5">
        <f>5</f>
        <v>5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2</f>
        <v>2</v>
      </c>
      <c r="P30" s="5">
        <f>0</f>
        <v>0</v>
      </c>
      <c r="Q30" s="5">
        <f>0</f>
        <v>0</v>
      </c>
      <c r="R30" s="5">
        <f>2</f>
        <v>2</v>
      </c>
      <c r="S30" s="5">
        <f>0</f>
        <v>0</v>
      </c>
      <c r="T30" s="5">
        <f>1</f>
        <v>1</v>
      </c>
      <c r="U30" s="5">
        <f>0</f>
        <v>0</v>
      </c>
      <c r="V30" s="5">
        <f>0</f>
        <v>0</v>
      </c>
    </row>
    <row r="31" spans="1:22" ht="15" customHeight="1" x14ac:dyDescent="0.25">
      <c r="A31" s="5" t="s">
        <v>63</v>
      </c>
      <c r="B31" s="5" t="s">
        <v>34</v>
      </c>
      <c r="C31" s="5" t="s">
        <v>31</v>
      </c>
      <c r="D31" s="5"/>
      <c r="E31" s="5"/>
      <c r="F31" s="5" t="s">
        <v>64</v>
      </c>
      <c r="G31" s="5" t="s">
        <v>65</v>
      </c>
      <c r="H31" s="6">
        <f t="shared" si="0"/>
        <v>8270</v>
      </c>
      <c r="I31" s="5">
        <f>5596</f>
        <v>5596</v>
      </c>
      <c r="J31" s="5">
        <f>2674</f>
        <v>2674</v>
      </c>
      <c r="K31" s="5">
        <f>758</f>
        <v>758</v>
      </c>
      <c r="L31" s="5">
        <f>702</f>
        <v>702</v>
      </c>
      <c r="M31" s="5">
        <f>954</f>
        <v>954</v>
      </c>
      <c r="N31" s="5">
        <f>490</f>
        <v>490</v>
      </c>
      <c r="O31" s="5">
        <f>511</f>
        <v>511</v>
      </c>
      <c r="P31" s="5">
        <f>519</f>
        <v>519</v>
      </c>
      <c r="Q31" s="5">
        <f>578</f>
        <v>578</v>
      </c>
      <c r="R31" s="5">
        <f>594</f>
        <v>594</v>
      </c>
      <c r="S31" s="5">
        <f>702</f>
        <v>702</v>
      </c>
      <c r="T31" s="5">
        <f>1075</f>
        <v>1075</v>
      </c>
      <c r="U31" s="5">
        <f>982</f>
        <v>982</v>
      </c>
      <c r="V31" s="5">
        <f>405</f>
        <v>405</v>
      </c>
    </row>
    <row r="32" spans="1:22" ht="15" customHeight="1" x14ac:dyDescent="0.25">
      <c r="A32" s="5" t="s">
        <v>63</v>
      </c>
      <c r="B32" s="5" t="s">
        <v>34</v>
      </c>
      <c r="C32" s="5" t="s">
        <v>32</v>
      </c>
      <c r="D32" s="5"/>
      <c r="E32" s="5"/>
      <c r="F32" s="5" t="s">
        <v>64</v>
      </c>
      <c r="G32" s="5" t="s">
        <v>65</v>
      </c>
      <c r="H32" s="6">
        <f t="shared" si="0"/>
        <v>6</v>
      </c>
      <c r="I32" s="5">
        <f>6</f>
        <v>6</v>
      </c>
      <c r="J32" s="5">
        <f>0</f>
        <v>0</v>
      </c>
      <c r="K32" s="5">
        <f>0</f>
        <v>0</v>
      </c>
      <c r="L32" s="5">
        <f>0</f>
        <v>0</v>
      </c>
      <c r="M32" s="5">
        <f>1</f>
        <v>1</v>
      </c>
      <c r="N32" s="5">
        <f>0</f>
        <v>0</v>
      </c>
      <c r="O32" s="5">
        <f>2</f>
        <v>2</v>
      </c>
      <c r="P32" s="5">
        <f>0</f>
        <v>0</v>
      </c>
      <c r="Q32" s="5">
        <f>0</f>
        <v>0</v>
      </c>
      <c r="R32" s="5">
        <f>2</f>
        <v>2</v>
      </c>
      <c r="S32" s="5">
        <f>1</f>
        <v>1</v>
      </c>
      <c r="T32" s="5">
        <f>0</f>
        <v>0</v>
      </c>
      <c r="U32" s="5">
        <f>0</f>
        <v>0</v>
      </c>
      <c r="V32" s="5">
        <f>0</f>
        <v>0</v>
      </c>
    </row>
    <row r="33" spans="1:22" ht="15" customHeight="1" x14ac:dyDescent="0.25">
      <c r="A33" s="5" t="s">
        <v>66</v>
      </c>
      <c r="B33" s="5" t="s">
        <v>34</v>
      </c>
      <c r="C33" s="5" t="s">
        <v>31</v>
      </c>
      <c r="D33" s="5"/>
      <c r="E33" s="5"/>
      <c r="F33" s="5" t="s">
        <v>67</v>
      </c>
      <c r="G33" s="5" t="s">
        <v>68</v>
      </c>
      <c r="H33" s="6">
        <f t="shared" si="0"/>
        <v>16860</v>
      </c>
      <c r="I33" s="5">
        <f>11444</f>
        <v>11444</v>
      </c>
      <c r="J33" s="5">
        <f>5416</f>
        <v>5416</v>
      </c>
      <c r="K33" s="5">
        <f>1565</f>
        <v>1565</v>
      </c>
      <c r="L33" s="5">
        <f>1449</f>
        <v>1449</v>
      </c>
      <c r="M33" s="5">
        <f>2197</f>
        <v>2197</v>
      </c>
      <c r="N33" s="5">
        <f>974</f>
        <v>974</v>
      </c>
      <c r="O33" s="5">
        <f>960</f>
        <v>960</v>
      </c>
      <c r="P33" s="5">
        <f>1151</f>
        <v>1151</v>
      </c>
      <c r="Q33" s="5">
        <f>1103</f>
        <v>1103</v>
      </c>
      <c r="R33" s="5">
        <f>1013</f>
        <v>1013</v>
      </c>
      <c r="S33" s="5">
        <f>1619</f>
        <v>1619</v>
      </c>
      <c r="T33" s="5">
        <f>1728</f>
        <v>1728</v>
      </c>
      <c r="U33" s="5">
        <f>2099</f>
        <v>2099</v>
      </c>
      <c r="V33" s="5">
        <f>1002</f>
        <v>1002</v>
      </c>
    </row>
    <row r="34" spans="1:22" ht="15" customHeight="1" x14ac:dyDescent="0.25">
      <c r="A34" s="5" t="s">
        <v>66</v>
      </c>
      <c r="B34" s="5" t="s">
        <v>34</v>
      </c>
      <c r="C34" s="5" t="s">
        <v>32</v>
      </c>
      <c r="D34" s="5"/>
      <c r="E34" s="5"/>
      <c r="F34" s="5" t="s">
        <v>67</v>
      </c>
      <c r="G34" s="5" t="s">
        <v>68</v>
      </c>
      <c r="H34" s="6">
        <f t="shared" si="0"/>
        <v>27</v>
      </c>
      <c r="I34" s="5">
        <f>27</f>
        <v>27</v>
      </c>
      <c r="J34" s="5">
        <f>0</f>
        <v>0</v>
      </c>
      <c r="K34" s="5">
        <f>0</f>
        <v>0</v>
      </c>
      <c r="L34" s="5">
        <f>0</f>
        <v>0</v>
      </c>
      <c r="M34" s="5">
        <f>0</f>
        <v>0</v>
      </c>
      <c r="N34" s="5">
        <f>2</f>
        <v>2</v>
      </c>
      <c r="O34" s="5">
        <f>11</f>
        <v>11</v>
      </c>
      <c r="P34" s="5">
        <f>0</f>
        <v>0</v>
      </c>
      <c r="Q34" s="5">
        <f>1</f>
        <v>1</v>
      </c>
      <c r="R34" s="5">
        <f>1</f>
        <v>1</v>
      </c>
      <c r="S34" s="5">
        <f>0</f>
        <v>0</v>
      </c>
      <c r="T34" s="5">
        <f>0</f>
        <v>0</v>
      </c>
      <c r="U34" s="5">
        <f>0</f>
        <v>0</v>
      </c>
      <c r="V34" s="5">
        <f>12</f>
        <v>12</v>
      </c>
    </row>
    <row r="35" spans="1:22" ht="15" customHeight="1" x14ac:dyDescent="0.25">
      <c r="A35" s="5" t="s">
        <v>69</v>
      </c>
      <c r="B35" s="5" t="s">
        <v>34</v>
      </c>
      <c r="C35" s="5" t="s">
        <v>31</v>
      </c>
      <c r="D35" s="5"/>
      <c r="E35" s="5"/>
      <c r="F35" s="5" t="s">
        <v>70</v>
      </c>
      <c r="G35" s="5" t="s">
        <v>71</v>
      </c>
      <c r="H35" s="6">
        <f t="shared" si="0"/>
        <v>4468</v>
      </c>
      <c r="I35" s="5">
        <f>2926</f>
        <v>2926</v>
      </c>
      <c r="J35" s="5">
        <f>1542</f>
        <v>1542</v>
      </c>
      <c r="K35" s="5">
        <f>333</f>
        <v>333</v>
      </c>
      <c r="L35" s="5">
        <f>477</f>
        <v>477</v>
      </c>
      <c r="M35" s="5">
        <f>356</f>
        <v>356</v>
      </c>
      <c r="N35" s="5">
        <f>342</f>
        <v>342</v>
      </c>
      <c r="O35" s="5">
        <f>286</f>
        <v>286</v>
      </c>
      <c r="P35" s="5">
        <f>267</f>
        <v>267</v>
      </c>
      <c r="Q35" s="5">
        <f>379</f>
        <v>379</v>
      </c>
      <c r="R35" s="5">
        <f>363</f>
        <v>363</v>
      </c>
      <c r="S35" s="5">
        <f>367</f>
        <v>367</v>
      </c>
      <c r="T35" s="5">
        <f>505</f>
        <v>505</v>
      </c>
      <c r="U35" s="5">
        <f>457</f>
        <v>457</v>
      </c>
      <c r="V35" s="5">
        <f>336</f>
        <v>336</v>
      </c>
    </row>
    <row r="36" spans="1:22" ht="15" customHeight="1" x14ac:dyDescent="0.25">
      <c r="A36" s="5" t="s">
        <v>69</v>
      </c>
      <c r="B36" s="5" t="s">
        <v>34</v>
      </c>
      <c r="C36" s="5" t="s">
        <v>32</v>
      </c>
      <c r="D36" s="5"/>
      <c r="E36" s="5"/>
      <c r="F36" s="5" t="s">
        <v>70</v>
      </c>
      <c r="G36" s="5" t="s">
        <v>71</v>
      </c>
      <c r="H36" s="6">
        <f t="shared" si="0"/>
        <v>4</v>
      </c>
      <c r="I36" s="5">
        <f>4</f>
        <v>4</v>
      </c>
      <c r="J36" s="5">
        <f>0</f>
        <v>0</v>
      </c>
      <c r="K36" s="5">
        <f>0</f>
        <v>0</v>
      </c>
      <c r="L36" s="5">
        <f>0</f>
        <v>0</v>
      </c>
      <c r="M36" s="5">
        <f>0</f>
        <v>0</v>
      </c>
      <c r="N36" s="5">
        <f>1</f>
        <v>1</v>
      </c>
      <c r="O36" s="5">
        <f>1</f>
        <v>1</v>
      </c>
      <c r="P36" s="5">
        <f>0</f>
        <v>0</v>
      </c>
      <c r="Q36" s="5">
        <f>0</f>
        <v>0</v>
      </c>
      <c r="R36" s="5">
        <f>0</f>
        <v>0</v>
      </c>
      <c r="S36" s="5">
        <f>0</f>
        <v>0</v>
      </c>
      <c r="T36" s="5">
        <f>0</f>
        <v>0</v>
      </c>
      <c r="U36" s="5">
        <f>0</f>
        <v>0</v>
      </c>
      <c r="V36" s="5">
        <f>2</f>
        <v>2</v>
      </c>
    </row>
  </sheetData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Alexis Valdes</cp:lastModifiedBy>
  <dcterms:created xsi:type="dcterms:W3CDTF">2018-02-15T19:35:20Z</dcterms:created>
  <dcterms:modified xsi:type="dcterms:W3CDTF">2018-02-15T19:56:33Z</dcterms:modified>
</cp:coreProperties>
</file>