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desa\Downloads\"/>
    </mc:Choice>
  </mc:AlternateContent>
  <bookViews>
    <workbookView xWindow="0" yWindow="0" windowWidth="28800" windowHeight="1258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V52" i="1" l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</calcChain>
</file>

<file path=xl/sharedStrings.xml><?xml version="1.0" encoding="utf-8"?>
<sst xmlns="http://schemas.openxmlformats.org/spreadsheetml/2006/main" count="212" uniqueCount="81">
  <si>
    <t>Journal Report 1 (R4)</t>
  </si>
  <si>
    <t>Number of Successful Full-Text Article Requests by Month and Journal</t>
  </si>
  <si>
    <t>University of Toronto Libraries</t>
  </si>
  <si>
    <t xml:space="preserve"> </t>
  </si>
  <si>
    <t>Period covered by Report:</t>
  </si>
  <si>
    <t>2018-01-01 to 2018-12-31</t>
  </si>
  <si>
    <t>Date run:</t>
  </si>
  <si>
    <t>2019-08-26</t>
  </si>
  <si>
    <t>Journal</t>
  </si>
  <si>
    <t>Publisher</t>
  </si>
  <si>
    <t>Platform</t>
  </si>
  <si>
    <t>Journal DOI</t>
  </si>
  <si>
    <t>Proprietary Identifier</t>
  </si>
  <si>
    <t>Print ISSN</t>
  </si>
  <si>
    <t>Online ISSN</t>
  </si>
  <si>
    <t>Reporting Period Total</t>
  </si>
  <si>
    <t>Reporting Period HTML</t>
  </si>
  <si>
    <t>Reporting Period PDF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</si>
  <si>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</si>
  <si>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</si>
  <si>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</si>
  <si>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</si>
  <si>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</si>
  <si>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</si>
  <si>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</si>
  <si>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</si>
  <si>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</si>
  <si>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</si>
  <si>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</si>
  <si>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</si>
  <si>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Total for all journals</t>
  </si>
  <si>
    <t>Silverchair</t>
  </si>
  <si>
    <t>JAMA Network Reader</t>
  </si>
  <si>
    <t>AMA Journal of Ethics</t>
  </si>
  <si>
    <t>American Medical Association</t>
  </si>
  <si>
    <t>AMA STEPS Forward</t>
  </si>
  <si>
    <t>American College of Radiology</t>
  </si>
  <si>
    <t>Archives of Neurology &amp; Psychiatry</t>
  </si>
  <si>
    <t>0096-6886</t>
  </si>
  <si>
    <t>Ed Hub</t>
  </si>
  <si>
    <t>GCEP</t>
  </si>
  <si>
    <t>Health Systems Science</t>
  </si>
  <si>
    <t>JAMA</t>
  </si>
  <si>
    <t>0098-7484</t>
  </si>
  <si>
    <t>1538-3598</t>
  </si>
  <si>
    <t>JAMA Cardiology</t>
  </si>
  <si>
    <t>2380-6583</t>
  </si>
  <si>
    <t>2380-6591</t>
  </si>
  <si>
    <t>JAMA Dermatology</t>
  </si>
  <si>
    <t>2168-6068</t>
  </si>
  <si>
    <t>2168-6084</t>
  </si>
  <si>
    <t>JAMA Facial Plastic Surgery</t>
  </si>
  <si>
    <t>2168-6076</t>
  </si>
  <si>
    <t>2168-6092</t>
  </si>
  <si>
    <t>JAMA Internal Medicine</t>
  </si>
  <si>
    <t>2168-6106</t>
  </si>
  <si>
    <t>2168-6114</t>
  </si>
  <si>
    <t>JAMA Network Open</t>
  </si>
  <si>
    <t>2574-3805</t>
  </si>
  <si>
    <t>JAMA Neurology</t>
  </si>
  <si>
    <t>2168-6149</t>
  </si>
  <si>
    <t>2168-6157</t>
  </si>
  <si>
    <t>JAMA Oncology</t>
  </si>
  <si>
    <t>2374-2437</t>
  </si>
  <si>
    <t>2374-2445</t>
  </si>
  <si>
    <t>JAMA Ophthalmology</t>
  </si>
  <si>
    <t>2168-6165</t>
  </si>
  <si>
    <t>2168-6173</t>
  </si>
  <si>
    <t>JAMA Otolaryngology–Head &amp; Neck Surgery</t>
  </si>
  <si>
    <t>2168-6181</t>
  </si>
  <si>
    <t>2168-619X</t>
  </si>
  <si>
    <t>JAMA Pediatrics</t>
  </si>
  <si>
    <t>2168-6203</t>
  </si>
  <si>
    <t>2168-6211</t>
  </si>
  <si>
    <t>JAMA Psychiatry</t>
  </si>
  <si>
    <t>2168-622X</t>
  </si>
  <si>
    <t>2168-6238</t>
  </si>
  <si>
    <t>JAMA Surgery</t>
  </si>
  <si>
    <t>2168-6254</t>
  </si>
  <si>
    <t>2168-6262</t>
  </si>
  <si>
    <t>JN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</si>
</sst>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78FAE"/>
      </patternFill>
    </fill>
    <fill>
      <patternFill patternType="solid">
        <fgColor rgb="FFBCD2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Alignment="1">
      <alignment horizontal="left" vertical="top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 wrapText="1"/>
    </xf>
    <xf numFmtId="0" fontId="2" fillId="3" borderId="0" xfId="0" applyNumberFormat="1" applyFont="1" applyFill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/>
  </sheetViews>
  <sheetFormatPr defaultRowHeight="15" x14ac:dyDescent="0.25"/>
  <cols>
    <col min="1" max="2" width="36" customWidth="1"/>
    <col min="3" max="10" width="10.7109375" customWidth="1"/>
    <col min="11" max="22" width="5.42578125" customWidth="1"/>
    <col min="23" max="23" width="213.85546875" customWidth="1"/>
  </cols>
  <sheetData>
    <row r="1" spans="1:22" ht="15.95" customHeight="1" x14ac:dyDescent="0.25">
      <c r="A1" s="1" t="s">
        <v>0</v>
      </c>
      <c r="B1" s="1" t="s">
        <v>1</v>
      </c>
    </row>
    <row r="2" spans="1:22" ht="15.95" customHeight="1" x14ac:dyDescent="0.25">
      <c r="A2" s="1" t="s">
        <v>2</v>
      </c>
    </row>
    <row r="3" spans="1:22" ht="15.95" customHeight="1" x14ac:dyDescent="0.25">
      <c r="A3" s="1" t="s">
        <v>3</v>
      </c>
    </row>
    <row r="4" spans="1:22" ht="15.95" customHeight="1" x14ac:dyDescent="0.25">
      <c r="A4" s="1" t="s">
        <v>4</v>
      </c>
    </row>
    <row r="5" spans="1:22" ht="15.95" customHeight="1" x14ac:dyDescent="0.25">
      <c r="A5" s="1" t="s">
        <v>5</v>
      </c>
    </row>
    <row r="6" spans="1:22" ht="15.95" customHeight="1" x14ac:dyDescent="0.25">
      <c r="A6" s="1" t="s">
        <v>6</v>
      </c>
    </row>
    <row r="7" spans="1:22" ht="12" customHeight="1" x14ac:dyDescent="0.25">
      <c r="A7" s="1" t="s">
        <v>7</v>
      </c>
    </row>
    <row r="8" spans="1:22" ht="45" customHeight="1" x14ac:dyDescent="0.25">
      <c r="A8" s="2" t="s">
        <v>8</v>
      </c>
      <c r="B8" s="2" t="s">
        <v>9</v>
      </c>
      <c r="C8" s="2" t="s">
        <v>10</v>
      </c>
      <c r="D8" s="2" t="s">
        <v>11</v>
      </c>
      <c r="E8" s="3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3" t="s">
        <v>18</v>
      </c>
      <c r="L8" s="3" t="s">
        <v>19</v>
      </c>
      <c r="M8" s="3" t="s">
        <v>20</v>
      </c>
      <c r="N8" s="3" t="s">
        <v>21</v>
      </c>
      <c r="O8" s="3" t="s">
        <v>22</v>
      </c>
      <c r="P8" s="3" t="s">
        <v>23</v>
      </c>
      <c r="Q8" s="3" t="s">
        <v>24</v>
      </c>
      <c r="R8" s="3" t="s">
        <v>25</v>
      </c>
      <c r="S8" s="3" t="s">
        <v>26</v>
      </c>
      <c r="T8" s="3" t="s">
        <v>27</v>
      </c>
      <c r="U8" s="3" t="s">
        <v>28</v>
      </c>
      <c r="V8" s="3" t="s">
        <v>29</v>
      </c>
    </row>
    <row r="9" spans="1:22" ht="15" customHeight="1" x14ac:dyDescent="0.25">
      <c r="A9" s="4" t="s">
        <v>30</v>
      </c>
      <c r="B9" s="4"/>
      <c r="C9" s="4" t="s">
        <v>31</v>
      </c>
      <c r="D9" s="4"/>
      <c r="E9" s="4"/>
      <c r="F9" s="4"/>
      <c r="G9" s="4"/>
      <c r="H9" s="4">
        <f>139616</f>
        <v>139616</v>
      </c>
      <c r="I9" s="4">
        <f>91452</f>
        <v>91452</v>
      </c>
      <c r="J9" s="4">
        <f>48164</f>
        <v>48164</v>
      </c>
      <c r="K9" s="4">
        <f>12792</f>
        <v>12792</v>
      </c>
      <c r="L9" s="4">
        <f>12869</f>
        <v>12869</v>
      </c>
      <c r="M9" s="4">
        <f>16809</f>
        <v>16809</v>
      </c>
      <c r="N9" s="4">
        <f>11646</f>
        <v>11646</v>
      </c>
      <c r="O9" s="4">
        <f>8939</f>
        <v>8939</v>
      </c>
      <c r="P9" s="4">
        <f>8725</f>
        <v>8725</v>
      </c>
      <c r="Q9" s="4">
        <f>9304</f>
        <v>9304</v>
      </c>
      <c r="R9" s="4">
        <f>8379</f>
        <v>8379</v>
      </c>
      <c r="S9" s="4">
        <f>11444</f>
        <v>11444</v>
      </c>
      <c r="T9" s="4">
        <f>14384</f>
        <v>14384</v>
      </c>
      <c r="U9" s="4">
        <f>15315</f>
        <v>15315</v>
      </c>
      <c r="V9" s="4">
        <f>9010</f>
        <v>9010</v>
      </c>
    </row>
    <row r="10" spans="1:22" ht="15" customHeight="1" x14ac:dyDescent="0.25">
      <c r="A10" s="4" t="s">
        <v>30</v>
      </c>
      <c r="B10" s="4"/>
      <c r="C10" s="4" t="s">
        <v>32</v>
      </c>
      <c r="D10" s="4"/>
      <c r="E10" s="4"/>
      <c r="F10" s="4"/>
      <c r="G10" s="4"/>
      <c r="H10" s="4">
        <f>11</f>
        <v>11</v>
      </c>
      <c r="I10" s="4">
        <f>11</f>
        <v>11</v>
      </c>
      <c r="J10" s="4">
        <f>0</f>
        <v>0</v>
      </c>
      <c r="K10" s="4">
        <f>5</f>
        <v>5</v>
      </c>
      <c r="L10" s="4">
        <f>0</f>
        <v>0</v>
      </c>
      <c r="M10" s="4">
        <f>0</f>
        <v>0</v>
      </c>
      <c r="N10" s="4">
        <f>1</f>
        <v>1</v>
      </c>
      <c r="O10" s="4">
        <f>0</f>
        <v>0</v>
      </c>
      <c r="P10" s="4">
        <f>0</f>
        <v>0</v>
      </c>
      <c r="Q10" s="4">
        <f>0</f>
        <v>0</v>
      </c>
      <c r="R10" s="4">
        <f>5</f>
        <v>5</v>
      </c>
      <c r="S10" s="4">
        <f>0</f>
        <v>0</v>
      </c>
      <c r="T10" s="4">
        <f>0</f>
        <v>0</v>
      </c>
      <c r="U10" s="4">
        <f>0</f>
        <v>0</v>
      </c>
      <c r="V10" s="4">
        <f>0</f>
        <v>0</v>
      </c>
    </row>
    <row r="11" spans="1:22" ht="15" customHeight="1" x14ac:dyDescent="0.25">
      <c r="A11" s="5" t="s">
        <v>33</v>
      </c>
      <c r="B11" s="5" t="s">
        <v>34</v>
      </c>
      <c r="C11" s="5" t="s">
        <v>31</v>
      </c>
      <c r="D11" s="5"/>
      <c r="E11" s="5"/>
      <c r="F11" s="5"/>
      <c r="G11" s="5"/>
      <c r="H11" s="5">
        <f>0</f>
        <v>0</v>
      </c>
      <c r="I11" s="5">
        <f>0</f>
        <v>0</v>
      </c>
      <c r="J11" s="5">
        <f>0</f>
        <v>0</v>
      </c>
      <c r="K11" s="5">
        <f>0</f>
        <v>0</v>
      </c>
      <c r="L11" s="5">
        <f>0</f>
        <v>0</v>
      </c>
      <c r="M11" s="5">
        <f>0</f>
        <v>0</v>
      </c>
      <c r="N11" s="5">
        <f>0</f>
        <v>0</v>
      </c>
      <c r="O11" s="5">
        <f>0</f>
        <v>0</v>
      </c>
      <c r="P11" s="5">
        <f>0</f>
        <v>0</v>
      </c>
      <c r="Q11" s="5">
        <f>0</f>
        <v>0</v>
      </c>
      <c r="R11" s="5">
        <f>0</f>
        <v>0</v>
      </c>
      <c r="S11" s="5">
        <f>0</f>
        <v>0</v>
      </c>
      <c r="T11" s="5">
        <f>0</f>
        <v>0</v>
      </c>
      <c r="U11" s="5">
        <f>0</f>
        <v>0</v>
      </c>
      <c r="V11" s="5">
        <f>0</f>
        <v>0</v>
      </c>
    </row>
    <row r="12" spans="1:22" ht="15" customHeight="1" x14ac:dyDescent="0.25">
      <c r="A12" s="5" t="s">
        <v>33</v>
      </c>
      <c r="B12" s="5" t="s">
        <v>34</v>
      </c>
      <c r="C12" s="5" t="s">
        <v>32</v>
      </c>
      <c r="D12" s="5"/>
      <c r="E12" s="5"/>
      <c r="F12" s="5"/>
      <c r="G12" s="5"/>
      <c r="H12" s="5">
        <f>0</f>
        <v>0</v>
      </c>
      <c r="I12" s="5">
        <f>0</f>
        <v>0</v>
      </c>
      <c r="J12" s="5">
        <f>0</f>
        <v>0</v>
      </c>
      <c r="K12" s="5">
        <f>0</f>
        <v>0</v>
      </c>
      <c r="L12" s="5">
        <f>0</f>
        <v>0</v>
      </c>
      <c r="M12" s="5">
        <f>0</f>
        <v>0</v>
      </c>
      <c r="N12" s="5">
        <f>0</f>
        <v>0</v>
      </c>
      <c r="O12" s="5">
        <f>0</f>
        <v>0</v>
      </c>
      <c r="P12" s="5">
        <f>0</f>
        <v>0</v>
      </c>
      <c r="Q12" s="5">
        <f>0</f>
        <v>0</v>
      </c>
      <c r="R12" s="5">
        <f>0</f>
        <v>0</v>
      </c>
      <c r="S12" s="5">
        <f>0</f>
        <v>0</v>
      </c>
      <c r="T12" s="5">
        <f>0</f>
        <v>0</v>
      </c>
      <c r="U12" s="5">
        <f>0</f>
        <v>0</v>
      </c>
      <c r="V12" s="5">
        <f>0</f>
        <v>0</v>
      </c>
    </row>
    <row r="13" spans="1:22" ht="15" customHeight="1" x14ac:dyDescent="0.25">
      <c r="A13" s="5" t="s">
        <v>35</v>
      </c>
      <c r="B13" s="5" t="s">
        <v>34</v>
      </c>
      <c r="C13" s="5" t="s">
        <v>31</v>
      </c>
      <c r="D13" s="5"/>
      <c r="E13" s="5"/>
      <c r="F13" s="5"/>
      <c r="G13" s="5"/>
      <c r="H13" s="5">
        <f>3</f>
        <v>3</v>
      </c>
      <c r="I13" s="5">
        <f>3</f>
        <v>3</v>
      </c>
      <c r="J13" s="5">
        <f>0</f>
        <v>0</v>
      </c>
      <c r="K13" s="5">
        <f>0</f>
        <v>0</v>
      </c>
      <c r="L13" s="5">
        <f>0</f>
        <v>0</v>
      </c>
      <c r="M13" s="5">
        <f>0</f>
        <v>0</v>
      </c>
      <c r="N13" s="5">
        <f>0</f>
        <v>0</v>
      </c>
      <c r="O13" s="5">
        <f>0</f>
        <v>0</v>
      </c>
      <c r="P13" s="5">
        <f>0</f>
        <v>0</v>
      </c>
      <c r="Q13" s="5">
        <f>0</f>
        <v>0</v>
      </c>
      <c r="R13" s="5">
        <f>0</f>
        <v>0</v>
      </c>
      <c r="S13" s="5">
        <f>0</f>
        <v>0</v>
      </c>
      <c r="T13" s="5">
        <f>0</f>
        <v>0</v>
      </c>
      <c r="U13" s="5">
        <f>0</f>
        <v>0</v>
      </c>
      <c r="V13" s="5">
        <f>3</f>
        <v>3</v>
      </c>
    </row>
    <row r="14" spans="1:22" ht="15" customHeight="1" x14ac:dyDescent="0.25">
      <c r="A14" s="5" t="s">
        <v>35</v>
      </c>
      <c r="B14" s="5" t="s">
        <v>34</v>
      </c>
      <c r="C14" s="5" t="s">
        <v>32</v>
      </c>
      <c r="D14" s="5"/>
      <c r="E14" s="5"/>
      <c r="F14" s="5"/>
      <c r="G14" s="5"/>
      <c r="H14" s="5">
        <f>0</f>
        <v>0</v>
      </c>
      <c r="I14" s="5">
        <f>0</f>
        <v>0</v>
      </c>
      <c r="J14" s="5">
        <f>0</f>
        <v>0</v>
      </c>
      <c r="K14" s="5">
        <f>0</f>
        <v>0</v>
      </c>
      <c r="L14" s="5">
        <f>0</f>
        <v>0</v>
      </c>
      <c r="M14" s="5">
        <f>0</f>
        <v>0</v>
      </c>
      <c r="N14" s="5">
        <f>0</f>
        <v>0</v>
      </c>
      <c r="O14" s="5">
        <f>0</f>
        <v>0</v>
      </c>
      <c r="P14" s="5">
        <f>0</f>
        <v>0</v>
      </c>
      <c r="Q14" s="5">
        <f>0</f>
        <v>0</v>
      </c>
      <c r="R14" s="5">
        <f>0</f>
        <v>0</v>
      </c>
      <c r="S14" s="5">
        <f>0</f>
        <v>0</v>
      </c>
      <c r="T14" s="5">
        <f>0</f>
        <v>0</v>
      </c>
      <c r="U14" s="5">
        <f>0</f>
        <v>0</v>
      </c>
      <c r="V14" s="5">
        <f>0</f>
        <v>0</v>
      </c>
    </row>
    <row r="15" spans="1:22" ht="15" customHeight="1" x14ac:dyDescent="0.25">
      <c r="A15" s="5" t="s">
        <v>36</v>
      </c>
      <c r="B15" s="5" t="s">
        <v>34</v>
      </c>
      <c r="C15" s="5" t="s">
        <v>31</v>
      </c>
      <c r="D15" s="5"/>
      <c r="E15" s="5"/>
      <c r="F15" s="5"/>
      <c r="G15" s="5"/>
      <c r="H15" s="5">
        <f>0</f>
        <v>0</v>
      </c>
      <c r="I15" s="5">
        <f>0</f>
        <v>0</v>
      </c>
      <c r="J15" s="5">
        <f>0</f>
        <v>0</v>
      </c>
      <c r="K15" s="5">
        <f>0</f>
        <v>0</v>
      </c>
      <c r="L15" s="5">
        <f>0</f>
        <v>0</v>
      </c>
      <c r="M15" s="5">
        <f>0</f>
        <v>0</v>
      </c>
      <c r="N15" s="5">
        <f>0</f>
        <v>0</v>
      </c>
      <c r="O15" s="5">
        <f>0</f>
        <v>0</v>
      </c>
      <c r="P15" s="5">
        <f>0</f>
        <v>0</v>
      </c>
      <c r="Q15" s="5">
        <f>0</f>
        <v>0</v>
      </c>
      <c r="R15" s="5">
        <f>0</f>
        <v>0</v>
      </c>
      <c r="S15" s="5">
        <f>0</f>
        <v>0</v>
      </c>
      <c r="T15" s="5">
        <f>0</f>
        <v>0</v>
      </c>
      <c r="U15" s="5">
        <f>0</f>
        <v>0</v>
      </c>
      <c r="V15" s="5">
        <f>0</f>
        <v>0</v>
      </c>
    </row>
    <row r="16" spans="1:22" ht="15" customHeight="1" x14ac:dyDescent="0.25">
      <c r="A16" s="5" t="s">
        <v>36</v>
      </c>
      <c r="B16" s="5" t="s">
        <v>34</v>
      </c>
      <c r="C16" s="5" t="s">
        <v>32</v>
      </c>
      <c r="D16" s="5"/>
      <c r="E16" s="5"/>
      <c r="F16" s="5"/>
      <c r="G16" s="5"/>
      <c r="H16" s="5">
        <f>0</f>
        <v>0</v>
      </c>
      <c r="I16" s="5">
        <f>0</f>
        <v>0</v>
      </c>
      <c r="J16" s="5">
        <f>0</f>
        <v>0</v>
      </c>
      <c r="K16" s="5">
        <f>0</f>
        <v>0</v>
      </c>
      <c r="L16" s="5">
        <f>0</f>
        <v>0</v>
      </c>
      <c r="M16" s="5">
        <f>0</f>
        <v>0</v>
      </c>
      <c r="N16" s="5">
        <f>0</f>
        <v>0</v>
      </c>
      <c r="O16" s="5">
        <f>0</f>
        <v>0</v>
      </c>
      <c r="P16" s="5">
        <f>0</f>
        <v>0</v>
      </c>
      <c r="Q16" s="5">
        <f>0</f>
        <v>0</v>
      </c>
      <c r="R16" s="5">
        <f>0</f>
        <v>0</v>
      </c>
      <c r="S16" s="5">
        <f>0</f>
        <v>0</v>
      </c>
      <c r="T16" s="5">
        <f>0</f>
        <v>0</v>
      </c>
      <c r="U16" s="5">
        <f>0</f>
        <v>0</v>
      </c>
      <c r="V16" s="5">
        <f>0</f>
        <v>0</v>
      </c>
    </row>
    <row r="17" spans="1:22" ht="15" customHeight="1" x14ac:dyDescent="0.25">
      <c r="A17" s="5" t="s">
        <v>37</v>
      </c>
      <c r="B17" s="5" t="s">
        <v>34</v>
      </c>
      <c r="C17" s="5" t="s">
        <v>31</v>
      </c>
      <c r="D17" s="5"/>
      <c r="E17" s="5"/>
      <c r="F17" s="5" t="s">
        <v>38</v>
      </c>
      <c r="G17" s="5"/>
      <c r="H17" s="5">
        <f>1616</f>
        <v>1616</v>
      </c>
      <c r="I17" s="5">
        <f>191</f>
        <v>191</v>
      </c>
      <c r="J17" s="5">
        <f>1425</f>
        <v>1425</v>
      </c>
      <c r="K17" s="5">
        <f>29</f>
        <v>29</v>
      </c>
      <c r="L17" s="5">
        <f>19</f>
        <v>19</v>
      </c>
      <c r="M17" s="5">
        <f>44</f>
        <v>44</v>
      </c>
      <c r="N17" s="5">
        <f>23</f>
        <v>23</v>
      </c>
      <c r="O17" s="5">
        <f>24</f>
        <v>24</v>
      </c>
      <c r="P17" s="5">
        <f>24</f>
        <v>24</v>
      </c>
      <c r="Q17" s="5">
        <f>70</f>
        <v>70</v>
      </c>
      <c r="R17" s="5">
        <f>23</f>
        <v>23</v>
      </c>
      <c r="S17" s="5">
        <f>11</f>
        <v>11</v>
      </c>
      <c r="T17" s="5">
        <f>19</f>
        <v>19</v>
      </c>
      <c r="U17" s="5">
        <f>335</f>
        <v>335</v>
      </c>
      <c r="V17" s="5">
        <f>995</f>
        <v>995</v>
      </c>
    </row>
    <row r="18" spans="1:22" ht="15" customHeight="1" x14ac:dyDescent="0.25">
      <c r="A18" s="5" t="s">
        <v>37</v>
      </c>
      <c r="B18" s="5" t="s">
        <v>34</v>
      </c>
      <c r="C18" s="5" t="s">
        <v>32</v>
      </c>
      <c r="D18" s="5"/>
      <c r="E18" s="5"/>
      <c r="F18" s="5" t="s">
        <v>38</v>
      </c>
      <c r="G18" s="5"/>
      <c r="H18" s="5">
        <f>0</f>
        <v>0</v>
      </c>
      <c r="I18" s="5">
        <f>0</f>
        <v>0</v>
      </c>
      <c r="J18" s="5">
        <f>0</f>
        <v>0</v>
      </c>
      <c r="K18" s="5">
        <f>0</f>
        <v>0</v>
      </c>
      <c r="L18" s="5">
        <f>0</f>
        <v>0</v>
      </c>
      <c r="M18" s="5">
        <f>0</f>
        <v>0</v>
      </c>
      <c r="N18" s="5">
        <f>0</f>
        <v>0</v>
      </c>
      <c r="O18" s="5">
        <f>0</f>
        <v>0</v>
      </c>
      <c r="P18" s="5">
        <f>0</f>
        <v>0</v>
      </c>
      <c r="Q18" s="5">
        <f>0</f>
        <v>0</v>
      </c>
      <c r="R18" s="5">
        <f>0</f>
        <v>0</v>
      </c>
      <c r="S18" s="5">
        <f>0</f>
        <v>0</v>
      </c>
      <c r="T18" s="5">
        <f>0</f>
        <v>0</v>
      </c>
      <c r="U18" s="5">
        <f>0</f>
        <v>0</v>
      </c>
      <c r="V18" s="5">
        <f>0</f>
        <v>0</v>
      </c>
    </row>
    <row r="19" spans="1:22" ht="15" customHeight="1" x14ac:dyDescent="0.25">
      <c r="A19" s="5" t="s">
        <v>39</v>
      </c>
      <c r="B19" s="5" t="s">
        <v>34</v>
      </c>
      <c r="C19" s="5" t="s">
        <v>31</v>
      </c>
      <c r="D19" s="5"/>
      <c r="E19" s="5"/>
      <c r="F19" s="5"/>
      <c r="G19" s="5"/>
      <c r="H19" s="5">
        <f>0</f>
        <v>0</v>
      </c>
      <c r="I19" s="5">
        <f>0</f>
        <v>0</v>
      </c>
      <c r="J19" s="5">
        <f>0</f>
        <v>0</v>
      </c>
      <c r="K19" s="5">
        <f>0</f>
        <v>0</v>
      </c>
      <c r="L19" s="5">
        <f>0</f>
        <v>0</v>
      </c>
      <c r="M19" s="5">
        <f>0</f>
        <v>0</v>
      </c>
      <c r="N19" s="5">
        <f>0</f>
        <v>0</v>
      </c>
      <c r="O19" s="5">
        <f>0</f>
        <v>0</v>
      </c>
      <c r="P19" s="5">
        <f>0</f>
        <v>0</v>
      </c>
      <c r="Q19" s="5">
        <f>0</f>
        <v>0</v>
      </c>
      <c r="R19" s="5">
        <f>0</f>
        <v>0</v>
      </c>
      <c r="S19" s="5">
        <f>0</f>
        <v>0</v>
      </c>
      <c r="T19" s="5">
        <f>0</f>
        <v>0</v>
      </c>
      <c r="U19" s="5">
        <f>0</f>
        <v>0</v>
      </c>
      <c r="V19" s="5">
        <f>0</f>
        <v>0</v>
      </c>
    </row>
    <row r="20" spans="1:22" ht="15" customHeight="1" x14ac:dyDescent="0.25">
      <c r="A20" s="5" t="s">
        <v>39</v>
      </c>
      <c r="B20" s="5" t="s">
        <v>34</v>
      </c>
      <c r="C20" s="5" t="s">
        <v>32</v>
      </c>
      <c r="D20" s="5"/>
      <c r="E20" s="5"/>
      <c r="F20" s="5"/>
      <c r="G20" s="5"/>
      <c r="H20" s="5">
        <f>0</f>
        <v>0</v>
      </c>
      <c r="I20" s="5">
        <f>0</f>
        <v>0</v>
      </c>
      <c r="J20" s="5">
        <f>0</f>
        <v>0</v>
      </c>
      <c r="K20" s="5">
        <f>0</f>
        <v>0</v>
      </c>
      <c r="L20" s="5">
        <f>0</f>
        <v>0</v>
      </c>
      <c r="M20" s="5">
        <f>0</f>
        <v>0</v>
      </c>
      <c r="N20" s="5">
        <f>0</f>
        <v>0</v>
      </c>
      <c r="O20" s="5">
        <f>0</f>
        <v>0</v>
      </c>
      <c r="P20" s="5">
        <f>0</f>
        <v>0</v>
      </c>
      <c r="Q20" s="5">
        <f>0</f>
        <v>0</v>
      </c>
      <c r="R20" s="5">
        <f>0</f>
        <v>0</v>
      </c>
      <c r="S20" s="5">
        <f>0</f>
        <v>0</v>
      </c>
      <c r="T20" s="5">
        <f>0</f>
        <v>0</v>
      </c>
      <c r="U20" s="5">
        <f>0</f>
        <v>0</v>
      </c>
      <c r="V20" s="5">
        <f>0</f>
        <v>0</v>
      </c>
    </row>
    <row r="21" spans="1:22" ht="15" customHeight="1" x14ac:dyDescent="0.25">
      <c r="A21" s="5" t="s">
        <v>40</v>
      </c>
      <c r="B21" s="5" t="s">
        <v>34</v>
      </c>
      <c r="C21" s="5" t="s">
        <v>31</v>
      </c>
      <c r="D21" s="5"/>
      <c r="E21" s="5"/>
      <c r="F21" s="5"/>
      <c r="G21" s="5"/>
      <c r="H21" s="5">
        <f>0</f>
        <v>0</v>
      </c>
      <c r="I21" s="5">
        <f>0</f>
        <v>0</v>
      </c>
      <c r="J21" s="5">
        <f>0</f>
        <v>0</v>
      </c>
      <c r="K21" s="5">
        <f>0</f>
        <v>0</v>
      </c>
      <c r="L21" s="5">
        <f>0</f>
        <v>0</v>
      </c>
      <c r="M21" s="5">
        <f>0</f>
        <v>0</v>
      </c>
      <c r="N21" s="5">
        <f>0</f>
        <v>0</v>
      </c>
      <c r="O21" s="5">
        <f>0</f>
        <v>0</v>
      </c>
      <c r="P21" s="5">
        <f>0</f>
        <v>0</v>
      </c>
      <c r="Q21" s="5">
        <f>0</f>
        <v>0</v>
      </c>
      <c r="R21" s="5">
        <f>0</f>
        <v>0</v>
      </c>
      <c r="S21" s="5">
        <f>0</f>
        <v>0</v>
      </c>
      <c r="T21" s="5">
        <f>0</f>
        <v>0</v>
      </c>
      <c r="U21" s="5">
        <f>0</f>
        <v>0</v>
      </c>
      <c r="V21" s="5">
        <f>0</f>
        <v>0</v>
      </c>
    </row>
    <row r="22" spans="1:22" ht="15" customHeight="1" x14ac:dyDescent="0.25">
      <c r="A22" s="5" t="s">
        <v>40</v>
      </c>
      <c r="B22" s="5" t="s">
        <v>34</v>
      </c>
      <c r="C22" s="5" t="s">
        <v>32</v>
      </c>
      <c r="D22" s="5"/>
      <c r="E22" s="5"/>
      <c r="F22" s="5"/>
      <c r="G22" s="5"/>
      <c r="H22" s="5">
        <f>0</f>
        <v>0</v>
      </c>
      <c r="I22" s="5">
        <f>0</f>
        <v>0</v>
      </c>
      <c r="J22" s="5">
        <f>0</f>
        <v>0</v>
      </c>
      <c r="K22" s="5">
        <f>0</f>
        <v>0</v>
      </c>
      <c r="L22" s="5">
        <f>0</f>
        <v>0</v>
      </c>
      <c r="M22" s="5">
        <f>0</f>
        <v>0</v>
      </c>
      <c r="N22" s="5">
        <f>0</f>
        <v>0</v>
      </c>
      <c r="O22" s="5">
        <f>0</f>
        <v>0</v>
      </c>
      <c r="P22" s="5">
        <f>0</f>
        <v>0</v>
      </c>
      <c r="Q22" s="5">
        <f>0</f>
        <v>0</v>
      </c>
      <c r="R22" s="5">
        <f>0</f>
        <v>0</v>
      </c>
      <c r="S22" s="5">
        <f>0</f>
        <v>0</v>
      </c>
      <c r="T22" s="5">
        <f>0</f>
        <v>0</v>
      </c>
      <c r="U22" s="5">
        <f>0</f>
        <v>0</v>
      </c>
      <c r="V22" s="5">
        <f>0</f>
        <v>0</v>
      </c>
    </row>
    <row r="23" spans="1:22" ht="15" customHeight="1" x14ac:dyDescent="0.25">
      <c r="A23" s="5" t="s">
        <v>41</v>
      </c>
      <c r="B23" s="5" t="s">
        <v>34</v>
      </c>
      <c r="C23" s="5" t="s">
        <v>31</v>
      </c>
      <c r="D23" s="5"/>
      <c r="E23" s="5"/>
      <c r="F23" s="5"/>
      <c r="G23" s="5"/>
      <c r="H23" s="5">
        <f>0</f>
        <v>0</v>
      </c>
      <c r="I23" s="5">
        <f>0</f>
        <v>0</v>
      </c>
      <c r="J23" s="5">
        <f>0</f>
        <v>0</v>
      </c>
      <c r="K23" s="5">
        <f>0</f>
        <v>0</v>
      </c>
      <c r="L23" s="5">
        <f>0</f>
        <v>0</v>
      </c>
      <c r="M23" s="5">
        <f>0</f>
        <v>0</v>
      </c>
      <c r="N23" s="5">
        <f>0</f>
        <v>0</v>
      </c>
      <c r="O23" s="5">
        <f>0</f>
        <v>0</v>
      </c>
      <c r="P23" s="5">
        <f>0</f>
        <v>0</v>
      </c>
      <c r="Q23" s="5">
        <f>0</f>
        <v>0</v>
      </c>
      <c r="R23" s="5">
        <f>0</f>
        <v>0</v>
      </c>
      <c r="S23" s="5">
        <f>0</f>
        <v>0</v>
      </c>
      <c r="T23" s="5">
        <f>0</f>
        <v>0</v>
      </c>
      <c r="U23" s="5">
        <f>0</f>
        <v>0</v>
      </c>
      <c r="V23" s="5">
        <f>0</f>
        <v>0</v>
      </c>
    </row>
    <row r="24" spans="1:22" ht="15" customHeight="1" x14ac:dyDescent="0.25">
      <c r="A24" s="5" t="s">
        <v>41</v>
      </c>
      <c r="B24" s="5" t="s">
        <v>34</v>
      </c>
      <c r="C24" s="5" t="s">
        <v>32</v>
      </c>
      <c r="D24" s="5"/>
      <c r="E24" s="5"/>
      <c r="F24" s="5"/>
      <c r="G24" s="5"/>
      <c r="H24" s="5">
        <f>0</f>
        <v>0</v>
      </c>
      <c r="I24" s="5">
        <f>0</f>
        <v>0</v>
      </c>
      <c r="J24" s="5">
        <f>0</f>
        <v>0</v>
      </c>
      <c r="K24" s="5">
        <f>0</f>
        <v>0</v>
      </c>
      <c r="L24" s="5">
        <f>0</f>
        <v>0</v>
      </c>
      <c r="M24" s="5">
        <f>0</f>
        <v>0</v>
      </c>
      <c r="N24" s="5">
        <f>0</f>
        <v>0</v>
      </c>
      <c r="O24" s="5">
        <f>0</f>
        <v>0</v>
      </c>
      <c r="P24" s="5">
        <f>0</f>
        <v>0</v>
      </c>
      <c r="Q24" s="5">
        <f>0</f>
        <v>0</v>
      </c>
      <c r="R24" s="5">
        <f>0</f>
        <v>0</v>
      </c>
      <c r="S24" s="5">
        <f>0</f>
        <v>0</v>
      </c>
      <c r="T24" s="5">
        <f>0</f>
        <v>0</v>
      </c>
      <c r="U24" s="5">
        <f>0</f>
        <v>0</v>
      </c>
      <c r="V24" s="5">
        <f>0</f>
        <v>0</v>
      </c>
    </row>
    <row r="25" spans="1:22" ht="15" customHeight="1" x14ac:dyDescent="0.25">
      <c r="A25" s="5" t="s">
        <v>42</v>
      </c>
      <c r="B25" s="5" t="s">
        <v>34</v>
      </c>
      <c r="C25" s="5" t="s">
        <v>31</v>
      </c>
      <c r="D25" s="5"/>
      <c r="E25" s="5"/>
      <c r="F25" s="5" t="s">
        <v>43</v>
      </c>
      <c r="G25" s="5" t="s">
        <v>44</v>
      </c>
      <c r="H25" s="5">
        <f>69429</f>
        <v>69429</v>
      </c>
      <c r="I25" s="5">
        <f>46705</f>
        <v>46705</v>
      </c>
      <c r="J25" s="5">
        <f>22724</f>
        <v>22724</v>
      </c>
      <c r="K25" s="5">
        <f>6828</f>
        <v>6828</v>
      </c>
      <c r="L25" s="5">
        <f>6873</f>
        <v>6873</v>
      </c>
      <c r="M25" s="5">
        <f>8917</f>
        <v>8917</v>
      </c>
      <c r="N25" s="5">
        <f>5504</f>
        <v>5504</v>
      </c>
      <c r="O25" s="5">
        <f>4205</f>
        <v>4205</v>
      </c>
      <c r="P25" s="5">
        <f>4094</f>
        <v>4094</v>
      </c>
      <c r="Q25" s="5">
        <f>4335</f>
        <v>4335</v>
      </c>
      <c r="R25" s="5">
        <f>3752</f>
        <v>3752</v>
      </c>
      <c r="S25" s="5">
        <f>5930</f>
        <v>5930</v>
      </c>
      <c r="T25" s="5">
        <f>7437</f>
        <v>7437</v>
      </c>
      <c r="U25" s="5">
        <f>7600</f>
        <v>7600</v>
      </c>
      <c r="V25" s="5">
        <f>3954</f>
        <v>3954</v>
      </c>
    </row>
    <row r="26" spans="1:22" ht="15" customHeight="1" x14ac:dyDescent="0.25">
      <c r="A26" s="5" t="s">
        <v>42</v>
      </c>
      <c r="B26" s="5" t="s">
        <v>34</v>
      </c>
      <c r="C26" s="5" t="s">
        <v>32</v>
      </c>
      <c r="D26" s="5"/>
      <c r="E26" s="5"/>
      <c r="F26" s="5" t="s">
        <v>43</v>
      </c>
      <c r="G26" s="5" t="s">
        <v>44</v>
      </c>
      <c r="H26" s="5">
        <f>1</f>
        <v>1</v>
      </c>
      <c r="I26" s="5">
        <f>1</f>
        <v>1</v>
      </c>
      <c r="J26" s="5">
        <f>0</f>
        <v>0</v>
      </c>
      <c r="K26" s="5">
        <f>0</f>
        <v>0</v>
      </c>
      <c r="L26" s="5">
        <f>0</f>
        <v>0</v>
      </c>
      <c r="M26" s="5">
        <f>0</f>
        <v>0</v>
      </c>
      <c r="N26" s="5">
        <f>0</f>
        <v>0</v>
      </c>
      <c r="O26" s="5">
        <f>0</f>
        <v>0</v>
      </c>
      <c r="P26" s="5">
        <f>0</f>
        <v>0</v>
      </c>
      <c r="Q26" s="5">
        <f>0</f>
        <v>0</v>
      </c>
      <c r="R26" s="5">
        <f>1</f>
        <v>1</v>
      </c>
      <c r="S26" s="5">
        <f>0</f>
        <v>0</v>
      </c>
      <c r="T26" s="5">
        <f>0</f>
        <v>0</v>
      </c>
      <c r="U26" s="5">
        <f>0</f>
        <v>0</v>
      </c>
      <c r="V26" s="5">
        <f>0</f>
        <v>0</v>
      </c>
    </row>
    <row r="27" spans="1:22" ht="15" customHeight="1" x14ac:dyDescent="0.25">
      <c r="A27" s="5" t="s">
        <v>45</v>
      </c>
      <c r="B27" s="5" t="s">
        <v>34</v>
      </c>
      <c r="C27" s="5" t="s">
        <v>31</v>
      </c>
      <c r="D27" s="5"/>
      <c r="E27" s="5"/>
      <c r="F27" s="5" t="s">
        <v>46</v>
      </c>
      <c r="G27" s="5" t="s">
        <v>47</v>
      </c>
      <c r="H27" s="5">
        <f>501</f>
        <v>501</v>
      </c>
      <c r="I27" s="5">
        <f>407</f>
        <v>407</v>
      </c>
      <c r="J27" s="5">
        <f>94</f>
        <v>94</v>
      </c>
      <c r="K27" s="5">
        <f>49</f>
        <v>49</v>
      </c>
      <c r="L27" s="5">
        <f>40</f>
        <v>40</v>
      </c>
      <c r="M27" s="5">
        <f>98</f>
        <v>98</v>
      </c>
      <c r="N27" s="5">
        <f>62</f>
        <v>62</v>
      </c>
      <c r="O27" s="5">
        <f>33</f>
        <v>33</v>
      </c>
      <c r="P27" s="5">
        <f>26</f>
        <v>26</v>
      </c>
      <c r="Q27" s="5">
        <f>30</f>
        <v>30</v>
      </c>
      <c r="R27" s="5">
        <f>28</f>
        <v>28</v>
      </c>
      <c r="S27" s="5">
        <f>42</f>
        <v>42</v>
      </c>
      <c r="T27" s="5">
        <f>33</f>
        <v>33</v>
      </c>
      <c r="U27" s="5">
        <f>36</f>
        <v>36</v>
      </c>
      <c r="V27" s="5">
        <f>24</f>
        <v>24</v>
      </c>
    </row>
    <row r="28" spans="1:22" ht="15" customHeight="1" x14ac:dyDescent="0.25">
      <c r="A28" s="5" t="s">
        <v>45</v>
      </c>
      <c r="B28" s="5" t="s">
        <v>34</v>
      </c>
      <c r="C28" s="5" t="s">
        <v>32</v>
      </c>
      <c r="D28" s="5"/>
      <c r="E28" s="5"/>
      <c r="F28" s="5" t="s">
        <v>46</v>
      </c>
      <c r="G28" s="5" t="s">
        <v>47</v>
      </c>
      <c r="H28" s="5">
        <f>5</f>
        <v>5</v>
      </c>
      <c r="I28" s="5">
        <f>5</f>
        <v>5</v>
      </c>
      <c r="J28" s="5">
        <f>0</f>
        <v>0</v>
      </c>
      <c r="K28" s="5">
        <f>5</f>
        <v>5</v>
      </c>
      <c r="L28" s="5">
        <f>0</f>
        <v>0</v>
      </c>
      <c r="M28" s="5">
        <f>0</f>
        <v>0</v>
      </c>
      <c r="N28" s="5">
        <f>0</f>
        <v>0</v>
      </c>
      <c r="O28" s="5">
        <f>0</f>
        <v>0</v>
      </c>
      <c r="P28" s="5">
        <f>0</f>
        <v>0</v>
      </c>
      <c r="Q28" s="5">
        <f>0</f>
        <v>0</v>
      </c>
      <c r="R28" s="5">
        <f>0</f>
        <v>0</v>
      </c>
      <c r="S28" s="5">
        <f>0</f>
        <v>0</v>
      </c>
      <c r="T28" s="5">
        <f>0</f>
        <v>0</v>
      </c>
      <c r="U28" s="5">
        <f>0</f>
        <v>0</v>
      </c>
      <c r="V28" s="5">
        <f>0</f>
        <v>0</v>
      </c>
    </row>
    <row r="29" spans="1:22" ht="15" customHeight="1" x14ac:dyDescent="0.25">
      <c r="A29" s="5" t="s">
        <v>48</v>
      </c>
      <c r="B29" s="5" t="s">
        <v>34</v>
      </c>
      <c r="C29" s="5" t="s">
        <v>31</v>
      </c>
      <c r="D29" s="5"/>
      <c r="E29" s="5"/>
      <c r="F29" s="5" t="s">
        <v>49</v>
      </c>
      <c r="G29" s="5" t="s">
        <v>50</v>
      </c>
      <c r="H29" s="5">
        <f>4708</f>
        <v>4708</v>
      </c>
      <c r="I29" s="5">
        <f>2707</f>
        <v>2707</v>
      </c>
      <c r="J29" s="5">
        <f>2001</f>
        <v>2001</v>
      </c>
      <c r="K29" s="5">
        <f>433</f>
        <v>433</v>
      </c>
      <c r="L29" s="5">
        <f>303</f>
        <v>303</v>
      </c>
      <c r="M29" s="5">
        <f>421</f>
        <v>421</v>
      </c>
      <c r="N29" s="5">
        <f>448</f>
        <v>448</v>
      </c>
      <c r="O29" s="5">
        <f>378</f>
        <v>378</v>
      </c>
      <c r="P29" s="5">
        <f>370</f>
        <v>370</v>
      </c>
      <c r="Q29" s="5">
        <f>361</f>
        <v>361</v>
      </c>
      <c r="R29" s="5">
        <f>361</f>
        <v>361</v>
      </c>
      <c r="S29" s="5">
        <f>312</f>
        <v>312</v>
      </c>
      <c r="T29" s="5">
        <f>392</f>
        <v>392</v>
      </c>
      <c r="U29" s="5">
        <f>555</f>
        <v>555</v>
      </c>
      <c r="V29" s="5">
        <f>374</f>
        <v>374</v>
      </c>
    </row>
    <row r="30" spans="1:22" ht="15" customHeight="1" x14ac:dyDescent="0.25">
      <c r="A30" s="5" t="s">
        <v>48</v>
      </c>
      <c r="B30" s="5" t="s">
        <v>34</v>
      </c>
      <c r="C30" s="5" t="s">
        <v>32</v>
      </c>
      <c r="D30" s="5"/>
      <c r="E30" s="5"/>
      <c r="F30" s="5" t="s">
        <v>49</v>
      </c>
      <c r="G30" s="5" t="s">
        <v>50</v>
      </c>
      <c r="H30" s="5">
        <f>1</f>
        <v>1</v>
      </c>
      <c r="I30" s="5">
        <f>1</f>
        <v>1</v>
      </c>
      <c r="J30" s="5">
        <f>0</f>
        <v>0</v>
      </c>
      <c r="K30" s="5">
        <f>0</f>
        <v>0</v>
      </c>
      <c r="L30" s="5">
        <f>0</f>
        <v>0</v>
      </c>
      <c r="M30" s="5">
        <f>0</f>
        <v>0</v>
      </c>
      <c r="N30" s="5">
        <f>0</f>
        <v>0</v>
      </c>
      <c r="O30" s="5">
        <f>0</f>
        <v>0</v>
      </c>
      <c r="P30" s="5">
        <f>0</f>
        <v>0</v>
      </c>
      <c r="Q30" s="5">
        <f>0</f>
        <v>0</v>
      </c>
      <c r="R30" s="5">
        <f>1</f>
        <v>1</v>
      </c>
      <c r="S30" s="5">
        <f>0</f>
        <v>0</v>
      </c>
      <c r="T30" s="5">
        <f>0</f>
        <v>0</v>
      </c>
      <c r="U30" s="5">
        <f>0</f>
        <v>0</v>
      </c>
      <c r="V30" s="5">
        <f>0</f>
        <v>0</v>
      </c>
    </row>
    <row r="31" spans="1:22" ht="15" customHeight="1" x14ac:dyDescent="0.25">
      <c r="A31" s="5" t="s">
        <v>51</v>
      </c>
      <c r="B31" s="5" t="s">
        <v>34</v>
      </c>
      <c r="C31" s="5" t="s">
        <v>31</v>
      </c>
      <c r="D31" s="5"/>
      <c r="E31" s="5"/>
      <c r="F31" s="5" t="s">
        <v>52</v>
      </c>
      <c r="G31" s="5" t="s">
        <v>53</v>
      </c>
      <c r="H31" s="5">
        <f>846</f>
        <v>846</v>
      </c>
      <c r="I31" s="5">
        <f>508</f>
        <v>508</v>
      </c>
      <c r="J31" s="5">
        <f>338</f>
        <v>338</v>
      </c>
      <c r="K31" s="5">
        <f>26</f>
        <v>26</v>
      </c>
      <c r="L31" s="5">
        <f>44</f>
        <v>44</v>
      </c>
      <c r="M31" s="5">
        <f>154</f>
        <v>154</v>
      </c>
      <c r="N31" s="5">
        <f>91</f>
        <v>91</v>
      </c>
      <c r="O31" s="5">
        <f>52</f>
        <v>52</v>
      </c>
      <c r="P31" s="5">
        <f>29</f>
        <v>29</v>
      </c>
      <c r="Q31" s="5">
        <f>42</f>
        <v>42</v>
      </c>
      <c r="R31" s="5">
        <f>54</f>
        <v>54</v>
      </c>
      <c r="S31" s="5">
        <f>60</f>
        <v>60</v>
      </c>
      <c r="T31" s="5">
        <f>121</f>
        <v>121</v>
      </c>
      <c r="U31" s="5">
        <f>101</f>
        <v>101</v>
      </c>
      <c r="V31" s="5">
        <f>72</f>
        <v>72</v>
      </c>
    </row>
    <row r="32" spans="1:22" ht="15" customHeight="1" x14ac:dyDescent="0.25">
      <c r="A32" s="5" t="s">
        <v>51</v>
      </c>
      <c r="B32" s="5" t="s">
        <v>34</v>
      </c>
      <c r="C32" s="5" t="s">
        <v>32</v>
      </c>
      <c r="D32" s="5"/>
      <c r="E32" s="5"/>
      <c r="F32" s="5" t="s">
        <v>52</v>
      </c>
      <c r="G32" s="5" t="s">
        <v>53</v>
      </c>
      <c r="H32" s="5">
        <f>0</f>
        <v>0</v>
      </c>
      <c r="I32" s="5">
        <f>0</f>
        <v>0</v>
      </c>
      <c r="J32" s="5">
        <f>0</f>
        <v>0</v>
      </c>
      <c r="K32" s="5">
        <f>0</f>
        <v>0</v>
      </c>
      <c r="L32" s="5">
        <f>0</f>
        <v>0</v>
      </c>
      <c r="M32" s="5">
        <f>0</f>
        <v>0</v>
      </c>
      <c r="N32" s="5">
        <f>0</f>
        <v>0</v>
      </c>
      <c r="O32" s="5">
        <f>0</f>
        <v>0</v>
      </c>
      <c r="P32" s="5">
        <f>0</f>
        <v>0</v>
      </c>
      <c r="Q32" s="5">
        <f>0</f>
        <v>0</v>
      </c>
      <c r="R32" s="5">
        <f>0</f>
        <v>0</v>
      </c>
      <c r="S32" s="5">
        <f>0</f>
        <v>0</v>
      </c>
      <c r="T32" s="5">
        <f>0</f>
        <v>0</v>
      </c>
      <c r="U32" s="5">
        <f>0</f>
        <v>0</v>
      </c>
      <c r="V32" s="5">
        <f>0</f>
        <v>0</v>
      </c>
    </row>
    <row r="33" spans="1:22" ht="15" customHeight="1" x14ac:dyDescent="0.25">
      <c r="A33" s="5" t="s">
        <v>54</v>
      </c>
      <c r="B33" s="5" t="s">
        <v>34</v>
      </c>
      <c r="C33" s="5" t="s">
        <v>31</v>
      </c>
      <c r="D33" s="5"/>
      <c r="E33" s="5"/>
      <c r="F33" s="5" t="s">
        <v>55</v>
      </c>
      <c r="G33" s="5" t="s">
        <v>56</v>
      </c>
      <c r="H33" s="5">
        <f>16788</f>
        <v>16788</v>
      </c>
      <c r="I33" s="5">
        <f>11118</f>
        <v>11118</v>
      </c>
      <c r="J33" s="5">
        <f>5670</f>
        <v>5670</v>
      </c>
      <c r="K33" s="5">
        <f>1588</f>
        <v>1588</v>
      </c>
      <c r="L33" s="5">
        <f>1692</f>
        <v>1692</v>
      </c>
      <c r="M33" s="5">
        <f>1916</f>
        <v>1916</v>
      </c>
      <c r="N33" s="5">
        <f>1508</f>
        <v>1508</v>
      </c>
      <c r="O33" s="5">
        <f>1142</f>
        <v>1142</v>
      </c>
      <c r="P33" s="5">
        <f>1168</f>
        <v>1168</v>
      </c>
      <c r="Q33" s="5">
        <f>1132</f>
        <v>1132</v>
      </c>
      <c r="R33" s="5">
        <f>1028</f>
        <v>1028</v>
      </c>
      <c r="S33" s="5">
        <f>1329</f>
        <v>1329</v>
      </c>
      <c r="T33" s="5">
        <f>1693</f>
        <v>1693</v>
      </c>
      <c r="U33" s="5">
        <f>1648</f>
        <v>1648</v>
      </c>
      <c r="V33" s="5">
        <f>944</f>
        <v>944</v>
      </c>
    </row>
    <row r="34" spans="1:22" ht="15" customHeight="1" x14ac:dyDescent="0.25">
      <c r="A34" s="5" t="s">
        <v>54</v>
      </c>
      <c r="B34" s="5" t="s">
        <v>34</v>
      </c>
      <c r="C34" s="5" t="s">
        <v>32</v>
      </c>
      <c r="D34" s="5"/>
      <c r="E34" s="5"/>
      <c r="F34" s="5" t="s">
        <v>55</v>
      </c>
      <c r="G34" s="5" t="s">
        <v>56</v>
      </c>
      <c r="H34" s="5">
        <f>0</f>
        <v>0</v>
      </c>
      <c r="I34" s="5">
        <f>0</f>
        <v>0</v>
      </c>
      <c r="J34" s="5">
        <f>0</f>
        <v>0</v>
      </c>
      <c r="K34" s="5">
        <f>0</f>
        <v>0</v>
      </c>
      <c r="L34" s="5">
        <f>0</f>
        <v>0</v>
      </c>
      <c r="M34" s="5">
        <f>0</f>
        <v>0</v>
      </c>
      <c r="N34" s="5">
        <f>0</f>
        <v>0</v>
      </c>
      <c r="O34" s="5">
        <f>0</f>
        <v>0</v>
      </c>
      <c r="P34" s="5">
        <f>0</f>
        <v>0</v>
      </c>
      <c r="Q34" s="5">
        <f>0</f>
        <v>0</v>
      </c>
      <c r="R34" s="5">
        <f>0</f>
        <v>0</v>
      </c>
      <c r="S34" s="5">
        <f>0</f>
        <v>0</v>
      </c>
      <c r="T34" s="5">
        <f>0</f>
        <v>0</v>
      </c>
      <c r="U34" s="5">
        <f>0</f>
        <v>0</v>
      </c>
      <c r="V34" s="5">
        <f>0</f>
        <v>0</v>
      </c>
    </row>
    <row r="35" spans="1:22" ht="15" customHeight="1" x14ac:dyDescent="0.25">
      <c r="A35" s="5" t="s">
        <v>57</v>
      </c>
      <c r="B35" s="5" t="s">
        <v>34</v>
      </c>
      <c r="C35" s="5" t="s">
        <v>31</v>
      </c>
      <c r="D35" s="5"/>
      <c r="E35" s="5"/>
      <c r="F35" s="5"/>
      <c r="G35" s="5" t="s">
        <v>58</v>
      </c>
      <c r="H35" s="5">
        <f>612</f>
        <v>612</v>
      </c>
      <c r="I35" s="5">
        <f>466</f>
        <v>466</v>
      </c>
      <c r="J35" s="5">
        <f>146</f>
        <v>146</v>
      </c>
      <c r="K35" s="5">
        <f>0</f>
        <v>0</v>
      </c>
      <c r="L35" s="5">
        <f>0</f>
        <v>0</v>
      </c>
      <c r="M35" s="5">
        <f>0</f>
        <v>0</v>
      </c>
      <c r="N35" s="5">
        <f>0</f>
        <v>0</v>
      </c>
      <c r="O35" s="5">
        <f>40</f>
        <v>40</v>
      </c>
      <c r="P35" s="5">
        <f>62</f>
        <v>62</v>
      </c>
      <c r="Q35" s="5">
        <f>39</f>
        <v>39</v>
      </c>
      <c r="R35" s="5">
        <f>50</f>
        <v>50</v>
      </c>
      <c r="S35" s="5">
        <f>76</f>
        <v>76</v>
      </c>
      <c r="T35" s="5">
        <f>137</f>
        <v>137</v>
      </c>
      <c r="U35" s="5">
        <f>135</f>
        <v>135</v>
      </c>
      <c r="V35" s="5">
        <f>73</f>
        <v>73</v>
      </c>
    </row>
    <row r="36" spans="1:22" ht="15" customHeight="1" x14ac:dyDescent="0.25">
      <c r="A36" s="5" t="s">
        <v>57</v>
      </c>
      <c r="B36" s="5" t="s">
        <v>34</v>
      </c>
      <c r="C36" s="5" t="s">
        <v>32</v>
      </c>
      <c r="D36" s="5"/>
      <c r="E36" s="5"/>
      <c r="F36" s="5"/>
      <c r="G36" s="5" t="s">
        <v>58</v>
      </c>
      <c r="H36" s="5">
        <f>0</f>
        <v>0</v>
      </c>
      <c r="I36" s="5">
        <f>0</f>
        <v>0</v>
      </c>
      <c r="J36" s="5">
        <f>0</f>
        <v>0</v>
      </c>
      <c r="K36" s="5">
        <f>0</f>
        <v>0</v>
      </c>
      <c r="L36" s="5">
        <f>0</f>
        <v>0</v>
      </c>
      <c r="M36" s="5">
        <f>0</f>
        <v>0</v>
      </c>
      <c r="N36" s="5">
        <f>0</f>
        <v>0</v>
      </c>
      <c r="O36" s="5">
        <f>0</f>
        <v>0</v>
      </c>
      <c r="P36" s="5">
        <f>0</f>
        <v>0</v>
      </c>
      <c r="Q36" s="5">
        <f>0</f>
        <v>0</v>
      </c>
      <c r="R36" s="5">
        <f>0</f>
        <v>0</v>
      </c>
      <c r="S36" s="5">
        <f>0</f>
        <v>0</v>
      </c>
      <c r="T36" s="5">
        <f>0</f>
        <v>0</v>
      </c>
      <c r="U36" s="5">
        <f>0</f>
        <v>0</v>
      </c>
      <c r="V36" s="5">
        <f>0</f>
        <v>0</v>
      </c>
    </row>
    <row r="37" spans="1:22" ht="15" customHeight="1" x14ac:dyDescent="0.25">
      <c r="A37" s="5" t="s">
        <v>59</v>
      </c>
      <c r="B37" s="5" t="s">
        <v>34</v>
      </c>
      <c r="C37" s="5" t="s">
        <v>31</v>
      </c>
      <c r="D37" s="5"/>
      <c r="E37" s="5"/>
      <c r="F37" s="5" t="s">
        <v>60</v>
      </c>
      <c r="G37" s="5" t="s">
        <v>61</v>
      </c>
      <c r="H37" s="5">
        <f>6506</f>
        <v>6506</v>
      </c>
      <c r="I37" s="5">
        <f>4170</f>
        <v>4170</v>
      </c>
      <c r="J37" s="5">
        <f>2336</f>
        <v>2336</v>
      </c>
      <c r="K37" s="5">
        <f>609</f>
        <v>609</v>
      </c>
      <c r="L37" s="5">
        <f>528</f>
        <v>528</v>
      </c>
      <c r="M37" s="5">
        <f>668</f>
        <v>668</v>
      </c>
      <c r="N37" s="5">
        <f>582</f>
        <v>582</v>
      </c>
      <c r="O37" s="5">
        <f>348</f>
        <v>348</v>
      </c>
      <c r="P37" s="5">
        <f>434</f>
        <v>434</v>
      </c>
      <c r="Q37" s="5">
        <f>559</f>
        <v>559</v>
      </c>
      <c r="R37" s="5">
        <f>464</f>
        <v>464</v>
      </c>
      <c r="S37" s="5">
        <f>474</f>
        <v>474</v>
      </c>
      <c r="T37" s="5">
        <f>721</f>
        <v>721</v>
      </c>
      <c r="U37" s="5">
        <f>755</f>
        <v>755</v>
      </c>
      <c r="V37" s="5">
        <f>364</f>
        <v>364</v>
      </c>
    </row>
    <row r="38" spans="1:22" ht="15" customHeight="1" x14ac:dyDescent="0.25">
      <c r="A38" s="5" t="s">
        <v>59</v>
      </c>
      <c r="B38" s="5" t="s">
        <v>34</v>
      </c>
      <c r="C38" s="5" t="s">
        <v>32</v>
      </c>
      <c r="D38" s="5"/>
      <c r="E38" s="5"/>
      <c r="F38" s="5" t="s">
        <v>60</v>
      </c>
      <c r="G38" s="5" t="s">
        <v>61</v>
      </c>
      <c r="H38" s="5">
        <f>1</f>
        <v>1</v>
      </c>
      <c r="I38" s="5">
        <f>1</f>
        <v>1</v>
      </c>
      <c r="J38" s="5">
        <f>0</f>
        <v>0</v>
      </c>
      <c r="K38" s="5">
        <f>0</f>
        <v>0</v>
      </c>
      <c r="L38" s="5">
        <f>0</f>
        <v>0</v>
      </c>
      <c r="M38" s="5">
        <f>0</f>
        <v>0</v>
      </c>
      <c r="N38" s="5">
        <f>1</f>
        <v>1</v>
      </c>
      <c r="O38" s="5">
        <f>0</f>
        <v>0</v>
      </c>
      <c r="P38" s="5">
        <f>0</f>
        <v>0</v>
      </c>
      <c r="Q38" s="5">
        <f>0</f>
        <v>0</v>
      </c>
      <c r="R38" s="5">
        <f>0</f>
        <v>0</v>
      </c>
      <c r="S38" s="5">
        <f>0</f>
        <v>0</v>
      </c>
      <c r="T38" s="5">
        <f>0</f>
        <v>0</v>
      </c>
      <c r="U38" s="5">
        <f>0</f>
        <v>0</v>
      </c>
      <c r="V38" s="5">
        <f>0</f>
        <v>0</v>
      </c>
    </row>
    <row r="39" spans="1:22" ht="15" customHeight="1" x14ac:dyDescent="0.25">
      <c r="A39" s="5" t="s">
        <v>62</v>
      </c>
      <c r="B39" s="5" t="s">
        <v>34</v>
      </c>
      <c r="C39" s="5" t="s">
        <v>31</v>
      </c>
      <c r="D39" s="5"/>
      <c r="E39" s="5"/>
      <c r="F39" s="5" t="s">
        <v>63</v>
      </c>
      <c r="G39" s="5" t="s">
        <v>64</v>
      </c>
      <c r="H39" s="5">
        <f>5105</f>
        <v>5105</v>
      </c>
      <c r="I39" s="5">
        <f>3202</f>
        <v>3202</v>
      </c>
      <c r="J39" s="5">
        <f>1903</f>
        <v>1903</v>
      </c>
      <c r="K39" s="5">
        <f>431</f>
        <v>431</v>
      </c>
      <c r="L39" s="5">
        <f>397</f>
        <v>397</v>
      </c>
      <c r="M39" s="5">
        <f>476</f>
        <v>476</v>
      </c>
      <c r="N39" s="5">
        <f>544</f>
        <v>544</v>
      </c>
      <c r="O39" s="5">
        <f>395</f>
        <v>395</v>
      </c>
      <c r="P39" s="5">
        <f>317</f>
        <v>317</v>
      </c>
      <c r="Q39" s="5">
        <f>449</f>
        <v>449</v>
      </c>
      <c r="R39" s="5">
        <f>432</f>
        <v>432</v>
      </c>
      <c r="S39" s="5">
        <f>441</f>
        <v>441</v>
      </c>
      <c r="T39" s="5">
        <f>462</f>
        <v>462</v>
      </c>
      <c r="U39" s="5">
        <f>444</f>
        <v>444</v>
      </c>
      <c r="V39" s="5">
        <f>317</f>
        <v>317</v>
      </c>
    </row>
    <row r="40" spans="1:22" ht="15" customHeight="1" x14ac:dyDescent="0.25">
      <c r="A40" s="5" t="s">
        <v>62</v>
      </c>
      <c r="B40" s="5" t="s">
        <v>34</v>
      </c>
      <c r="C40" s="5" t="s">
        <v>32</v>
      </c>
      <c r="D40" s="5"/>
      <c r="E40" s="5"/>
      <c r="F40" s="5" t="s">
        <v>63</v>
      </c>
      <c r="G40" s="5" t="s">
        <v>64</v>
      </c>
      <c r="H40" s="5">
        <f>1</f>
        <v>1</v>
      </c>
      <c r="I40" s="5">
        <f>1</f>
        <v>1</v>
      </c>
      <c r="J40" s="5">
        <f>0</f>
        <v>0</v>
      </c>
      <c r="K40" s="5">
        <f>0</f>
        <v>0</v>
      </c>
      <c r="L40" s="5">
        <f>0</f>
        <v>0</v>
      </c>
      <c r="M40" s="5">
        <f>0</f>
        <v>0</v>
      </c>
      <c r="N40" s="5">
        <f>0</f>
        <v>0</v>
      </c>
      <c r="O40" s="5">
        <f>0</f>
        <v>0</v>
      </c>
      <c r="P40" s="5">
        <f>0</f>
        <v>0</v>
      </c>
      <c r="Q40" s="5">
        <f>0</f>
        <v>0</v>
      </c>
      <c r="R40" s="5">
        <f>1</f>
        <v>1</v>
      </c>
      <c r="S40" s="5">
        <f>0</f>
        <v>0</v>
      </c>
      <c r="T40" s="5">
        <f>0</f>
        <v>0</v>
      </c>
      <c r="U40" s="5">
        <f>0</f>
        <v>0</v>
      </c>
      <c r="V40" s="5">
        <f>0</f>
        <v>0</v>
      </c>
    </row>
    <row r="41" spans="1:22" ht="15" customHeight="1" x14ac:dyDescent="0.25">
      <c r="A41" s="5" t="s">
        <v>65</v>
      </c>
      <c r="B41" s="5" t="s">
        <v>34</v>
      </c>
      <c r="C41" s="5" t="s">
        <v>31</v>
      </c>
      <c r="D41" s="5"/>
      <c r="E41" s="5"/>
      <c r="F41" s="5" t="s">
        <v>66</v>
      </c>
      <c r="G41" s="5" t="s">
        <v>67</v>
      </c>
      <c r="H41" s="5">
        <f>3415</f>
        <v>3415</v>
      </c>
      <c r="I41" s="5">
        <f>2164</f>
        <v>2164</v>
      </c>
      <c r="J41" s="5">
        <f>1251</f>
        <v>1251</v>
      </c>
      <c r="K41" s="5">
        <f>271</f>
        <v>271</v>
      </c>
      <c r="L41" s="5">
        <f>290</f>
        <v>290</v>
      </c>
      <c r="M41" s="5">
        <f>357</f>
        <v>357</v>
      </c>
      <c r="N41" s="5">
        <f>366</f>
        <v>366</v>
      </c>
      <c r="O41" s="5">
        <f>219</f>
        <v>219</v>
      </c>
      <c r="P41" s="5">
        <f>300</f>
        <v>300</v>
      </c>
      <c r="Q41" s="5">
        <f>262</f>
        <v>262</v>
      </c>
      <c r="R41" s="5">
        <f>195</f>
        <v>195</v>
      </c>
      <c r="S41" s="5">
        <f>300</f>
        <v>300</v>
      </c>
      <c r="T41" s="5">
        <f>401</f>
        <v>401</v>
      </c>
      <c r="U41" s="5">
        <f>244</f>
        <v>244</v>
      </c>
      <c r="V41" s="5">
        <f>210</f>
        <v>210</v>
      </c>
    </row>
    <row r="42" spans="1:22" ht="15" customHeight="1" x14ac:dyDescent="0.25">
      <c r="A42" s="5" t="s">
        <v>65</v>
      </c>
      <c r="B42" s="5" t="s">
        <v>34</v>
      </c>
      <c r="C42" s="5" t="s">
        <v>32</v>
      </c>
      <c r="D42" s="5"/>
      <c r="E42" s="5"/>
      <c r="F42" s="5" t="s">
        <v>66</v>
      </c>
      <c r="G42" s="5" t="s">
        <v>67</v>
      </c>
      <c r="H42" s="5">
        <f>0</f>
        <v>0</v>
      </c>
      <c r="I42" s="5">
        <f>0</f>
        <v>0</v>
      </c>
      <c r="J42" s="5">
        <f>0</f>
        <v>0</v>
      </c>
      <c r="K42" s="5">
        <f>0</f>
        <v>0</v>
      </c>
      <c r="L42" s="5">
        <f>0</f>
        <v>0</v>
      </c>
      <c r="M42" s="5">
        <f>0</f>
        <v>0</v>
      </c>
      <c r="N42" s="5">
        <f>0</f>
        <v>0</v>
      </c>
      <c r="O42" s="5">
        <f>0</f>
        <v>0</v>
      </c>
      <c r="P42" s="5">
        <f>0</f>
        <v>0</v>
      </c>
      <c r="Q42" s="5">
        <f>0</f>
        <v>0</v>
      </c>
      <c r="R42" s="5">
        <f>0</f>
        <v>0</v>
      </c>
      <c r="S42" s="5">
        <f>0</f>
        <v>0</v>
      </c>
      <c r="T42" s="5">
        <f>0</f>
        <v>0</v>
      </c>
      <c r="U42" s="5">
        <f>0</f>
        <v>0</v>
      </c>
      <c r="V42" s="5">
        <f>0</f>
        <v>0</v>
      </c>
    </row>
    <row r="43" spans="1:22" ht="15" customHeight="1" x14ac:dyDescent="0.25">
      <c r="A43" s="5" t="s">
        <v>68</v>
      </c>
      <c r="B43" s="5" t="s">
        <v>34</v>
      </c>
      <c r="C43" s="5" t="s">
        <v>31</v>
      </c>
      <c r="D43" s="5"/>
      <c r="E43" s="5"/>
      <c r="F43" s="5" t="s">
        <v>69</v>
      </c>
      <c r="G43" s="5" t="s">
        <v>70</v>
      </c>
      <c r="H43" s="5">
        <f>2119</f>
        <v>2119</v>
      </c>
      <c r="I43" s="5">
        <f>1352</f>
        <v>1352</v>
      </c>
      <c r="J43" s="5">
        <f>767</f>
        <v>767</v>
      </c>
      <c r="K43" s="5">
        <f>179</f>
        <v>179</v>
      </c>
      <c r="L43" s="5">
        <f>167</f>
        <v>167</v>
      </c>
      <c r="M43" s="5">
        <f>273</f>
        <v>273</v>
      </c>
      <c r="N43" s="5">
        <f>216</f>
        <v>216</v>
      </c>
      <c r="O43" s="5">
        <f>162</f>
        <v>162</v>
      </c>
      <c r="P43" s="5">
        <f>165</f>
        <v>165</v>
      </c>
      <c r="Q43" s="5">
        <f>132</f>
        <v>132</v>
      </c>
      <c r="R43" s="5">
        <f>145</f>
        <v>145</v>
      </c>
      <c r="S43" s="5">
        <f>155</f>
        <v>155</v>
      </c>
      <c r="T43" s="5">
        <f>158</f>
        <v>158</v>
      </c>
      <c r="U43" s="5">
        <f>212</f>
        <v>212</v>
      </c>
      <c r="V43" s="5">
        <f>155</f>
        <v>155</v>
      </c>
    </row>
    <row r="44" spans="1:22" ht="15" customHeight="1" x14ac:dyDescent="0.25">
      <c r="A44" s="5" t="s">
        <v>68</v>
      </c>
      <c r="B44" s="5" t="s">
        <v>34</v>
      </c>
      <c r="C44" s="5" t="s">
        <v>32</v>
      </c>
      <c r="D44" s="5"/>
      <c r="E44" s="5"/>
      <c r="F44" s="5" t="s">
        <v>69</v>
      </c>
      <c r="G44" s="5" t="s">
        <v>70</v>
      </c>
      <c r="H44" s="5">
        <f>1</f>
        <v>1</v>
      </c>
      <c r="I44" s="5">
        <f>1</f>
        <v>1</v>
      </c>
      <c r="J44" s="5">
        <f>0</f>
        <v>0</v>
      </c>
      <c r="K44" s="5">
        <f>0</f>
        <v>0</v>
      </c>
      <c r="L44" s="5">
        <f>0</f>
        <v>0</v>
      </c>
      <c r="M44" s="5">
        <f>0</f>
        <v>0</v>
      </c>
      <c r="N44" s="5">
        <f>0</f>
        <v>0</v>
      </c>
      <c r="O44" s="5">
        <f>0</f>
        <v>0</v>
      </c>
      <c r="P44" s="5">
        <f>0</f>
        <v>0</v>
      </c>
      <c r="Q44" s="5">
        <f>0</f>
        <v>0</v>
      </c>
      <c r="R44" s="5">
        <f>1</f>
        <v>1</v>
      </c>
      <c r="S44" s="5">
        <f>0</f>
        <v>0</v>
      </c>
      <c r="T44" s="5">
        <f>0</f>
        <v>0</v>
      </c>
      <c r="U44" s="5">
        <f>0</f>
        <v>0</v>
      </c>
      <c r="V44" s="5">
        <f>0</f>
        <v>0</v>
      </c>
    </row>
    <row r="45" spans="1:22" ht="15" customHeight="1" x14ac:dyDescent="0.25">
      <c r="A45" s="5" t="s">
        <v>71</v>
      </c>
      <c r="B45" s="5" t="s">
        <v>34</v>
      </c>
      <c r="C45" s="5" t="s">
        <v>31</v>
      </c>
      <c r="D45" s="5"/>
      <c r="E45" s="5"/>
      <c r="F45" s="5" t="s">
        <v>72</v>
      </c>
      <c r="G45" s="5" t="s">
        <v>73</v>
      </c>
      <c r="H45" s="5">
        <f>7925</f>
        <v>7925</v>
      </c>
      <c r="I45" s="5">
        <f>5427</f>
        <v>5427</v>
      </c>
      <c r="J45" s="5">
        <f>2498</f>
        <v>2498</v>
      </c>
      <c r="K45" s="5">
        <f>697</f>
        <v>697</v>
      </c>
      <c r="L45" s="5">
        <f>688</f>
        <v>688</v>
      </c>
      <c r="M45" s="5">
        <f>878</f>
        <v>878</v>
      </c>
      <c r="N45" s="5">
        <f>635</f>
        <v>635</v>
      </c>
      <c r="O45" s="5">
        <f>459</f>
        <v>459</v>
      </c>
      <c r="P45" s="5">
        <f>510</f>
        <v>510</v>
      </c>
      <c r="Q45" s="5">
        <f>591</f>
        <v>591</v>
      </c>
      <c r="R45" s="5">
        <f>512</f>
        <v>512</v>
      </c>
      <c r="S45" s="5">
        <f>708</f>
        <v>708</v>
      </c>
      <c r="T45" s="5">
        <f>888</f>
        <v>888</v>
      </c>
      <c r="U45" s="5">
        <f>906</f>
        <v>906</v>
      </c>
      <c r="V45" s="5">
        <f>453</f>
        <v>453</v>
      </c>
    </row>
    <row r="46" spans="1:22" ht="15" customHeight="1" x14ac:dyDescent="0.25">
      <c r="A46" s="5" t="s">
        <v>71</v>
      </c>
      <c r="B46" s="5" t="s">
        <v>34</v>
      </c>
      <c r="C46" s="5" t="s">
        <v>32</v>
      </c>
      <c r="D46" s="5"/>
      <c r="E46" s="5"/>
      <c r="F46" s="5" t="s">
        <v>72</v>
      </c>
      <c r="G46" s="5" t="s">
        <v>73</v>
      </c>
      <c r="H46" s="5">
        <f>0</f>
        <v>0</v>
      </c>
      <c r="I46" s="5">
        <f>0</f>
        <v>0</v>
      </c>
      <c r="J46" s="5">
        <f>0</f>
        <v>0</v>
      </c>
      <c r="K46" s="5">
        <f>0</f>
        <v>0</v>
      </c>
      <c r="L46" s="5">
        <f>0</f>
        <v>0</v>
      </c>
      <c r="M46" s="5">
        <f>0</f>
        <v>0</v>
      </c>
      <c r="N46" s="5">
        <f>0</f>
        <v>0</v>
      </c>
      <c r="O46" s="5">
        <f>0</f>
        <v>0</v>
      </c>
      <c r="P46" s="5">
        <f>0</f>
        <v>0</v>
      </c>
      <c r="Q46" s="5">
        <f>0</f>
        <v>0</v>
      </c>
      <c r="R46" s="5">
        <f>0</f>
        <v>0</v>
      </c>
      <c r="S46" s="5">
        <f>0</f>
        <v>0</v>
      </c>
      <c r="T46" s="5">
        <f>0</f>
        <v>0</v>
      </c>
      <c r="U46" s="5">
        <f>0</f>
        <v>0</v>
      </c>
      <c r="V46" s="5">
        <f>0</f>
        <v>0</v>
      </c>
    </row>
    <row r="47" spans="1:22" ht="15" customHeight="1" x14ac:dyDescent="0.25">
      <c r="A47" s="5" t="s">
        <v>74</v>
      </c>
      <c r="B47" s="5" t="s">
        <v>34</v>
      </c>
      <c r="C47" s="5" t="s">
        <v>31</v>
      </c>
      <c r="D47" s="5"/>
      <c r="E47" s="5"/>
      <c r="F47" s="5" t="s">
        <v>75</v>
      </c>
      <c r="G47" s="5" t="s">
        <v>76</v>
      </c>
      <c r="H47" s="5">
        <f>15113</f>
        <v>15113</v>
      </c>
      <c r="I47" s="5">
        <f>9901</f>
        <v>9901</v>
      </c>
      <c r="J47" s="5">
        <f>5212</f>
        <v>5212</v>
      </c>
      <c r="K47" s="5">
        <f>1182</f>
        <v>1182</v>
      </c>
      <c r="L47" s="5">
        <f>1454</f>
        <v>1454</v>
      </c>
      <c r="M47" s="5">
        <f>2071</f>
        <v>2071</v>
      </c>
      <c r="N47" s="5">
        <f>1184</f>
        <v>1184</v>
      </c>
      <c r="O47" s="5">
        <f>1043</f>
        <v>1043</v>
      </c>
      <c r="P47" s="5">
        <f>932</f>
        <v>932</v>
      </c>
      <c r="Q47" s="5">
        <f>962</f>
        <v>962</v>
      </c>
      <c r="R47" s="5">
        <f>985</f>
        <v>985</v>
      </c>
      <c r="S47" s="5">
        <f>1210</f>
        <v>1210</v>
      </c>
      <c r="T47" s="5">
        <f>1436</f>
        <v>1436</v>
      </c>
      <c r="U47" s="5">
        <f>1882</f>
        <v>1882</v>
      </c>
      <c r="V47" s="5">
        <f>772</f>
        <v>772</v>
      </c>
    </row>
    <row r="48" spans="1:22" ht="15" customHeight="1" x14ac:dyDescent="0.25">
      <c r="A48" s="5" t="s">
        <v>74</v>
      </c>
      <c r="B48" s="5" t="s">
        <v>34</v>
      </c>
      <c r="C48" s="5" t="s">
        <v>32</v>
      </c>
      <c r="D48" s="5"/>
      <c r="E48" s="5"/>
      <c r="F48" s="5" t="s">
        <v>75</v>
      </c>
      <c r="G48" s="5" t="s">
        <v>76</v>
      </c>
      <c r="H48" s="5">
        <f>1</f>
        <v>1</v>
      </c>
      <c r="I48" s="5">
        <f>1</f>
        <v>1</v>
      </c>
      <c r="J48" s="5">
        <f>0</f>
        <v>0</v>
      </c>
      <c r="K48" s="5">
        <f>0</f>
        <v>0</v>
      </c>
      <c r="L48" s="5">
        <f>0</f>
        <v>0</v>
      </c>
      <c r="M48" s="5">
        <f>0</f>
        <v>0</v>
      </c>
      <c r="N48" s="5">
        <f>0</f>
        <v>0</v>
      </c>
      <c r="O48" s="5">
        <f>0</f>
        <v>0</v>
      </c>
      <c r="P48" s="5">
        <f>0</f>
        <v>0</v>
      </c>
      <c r="Q48" s="5">
        <f>0</f>
        <v>0</v>
      </c>
      <c r="R48" s="5">
        <f>1</f>
        <v>1</v>
      </c>
      <c r="S48" s="5">
        <f>0</f>
        <v>0</v>
      </c>
      <c r="T48" s="5">
        <f>0</f>
        <v>0</v>
      </c>
      <c r="U48" s="5">
        <f>0</f>
        <v>0</v>
      </c>
      <c r="V48" s="5">
        <f>0</f>
        <v>0</v>
      </c>
    </row>
    <row r="49" spans="1:22" ht="15" customHeight="1" x14ac:dyDescent="0.25">
      <c r="A49" s="5" t="s">
        <v>77</v>
      </c>
      <c r="B49" s="5" t="s">
        <v>34</v>
      </c>
      <c r="C49" s="5" t="s">
        <v>31</v>
      </c>
      <c r="D49" s="5"/>
      <c r="E49" s="5"/>
      <c r="F49" s="5" t="s">
        <v>78</v>
      </c>
      <c r="G49" s="5" t="s">
        <v>79</v>
      </c>
      <c r="H49" s="5">
        <f>4930</f>
        <v>4930</v>
      </c>
      <c r="I49" s="5">
        <f>3131</f>
        <v>3131</v>
      </c>
      <c r="J49" s="5">
        <f>1799</f>
        <v>1799</v>
      </c>
      <c r="K49" s="5">
        <f>470</f>
        <v>470</v>
      </c>
      <c r="L49" s="5">
        <f>374</f>
        <v>374</v>
      </c>
      <c r="M49" s="5">
        <f>536</f>
        <v>536</v>
      </c>
      <c r="N49" s="5">
        <f>483</f>
        <v>483</v>
      </c>
      <c r="O49" s="5">
        <f>439</f>
        <v>439</v>
      </c>
      <c r="P49" s="5">
        <f>294</f>
        <v>294</v>
      </c>
      <c r="Q49" s="5">
        <f>340</f>
        <v>340</v>
      </c>
      <c r="R49" s="5">
        <f>350</f>
        <v>350</v>
      </c>
      <c r="S49" s="5">
        <f>396</f>
        <v>396</v>
      </c>
      <c r="T49" s="5">
        <f>486</f>
        <v>486</v>
      </c>
      <c r="U49" s="5">
        <f>462</f>
        <v>462</v>
      </c>
      <c r="V49" s="5">
        <f>300</f>
        <v>300</v>
      </c>
    </row>
    <row r="50" spans="1:22" ht="15" customHeight="1" x14ac:dyDescent="0.25">
      <c r="A50" s="5" t="s">
        <v>77</v>
      </c>
      <c r="B50" s="5" t="s">
        <v>34</v>
      </c>
      <c r="C50" s="5" t="s">
        <v>32</v>
      </c>
      <c r="D50" s="5"/>
      <c r="E50" s="5"/>
      <c r="F50" s="5" t="s">
        <v>78</v>
      </c>
      <c r="G50" s="5" t="s">
        <v>79</v>
      </c>
      <c r="H50" s="5">
        <f>0</f>
        <v>0</v>
      </c>
      <c r="I50" s="5">
        <f>0</f>
        <v>0</v>
      </c>
      <c r="J50" s="5">
        <f>0</f>
        <v>0</v>
      </c>
      <c r="K50" s="5">
        <f>0</f>
        <v>0</v>
      </c>
      <c r="L50" s="5">
        <f>0</f>
        <v>0</v>
      </c>
      <c r="M50" s="5">
        <f>0</f>
        <v>0</v>
      </c>
      <c r="N50" s="5">
        <f>0</f>
        <v>0</v>
      </c>
      <c r="O50" s="5">
        <f>0</f>
        <v>0</v>
      </c>
      <c r="P50" s="5">
        <f>0</f>
        <v>0</v>
      </c>
      <c r="Q50" s="5">
        <f>0</f>
        <v>0</v>
      </c>
      <c r="R50" s="5">
        <f>0</f>
        <v>0</v>
      </c>
      <c r="S50" s="5">
        <f>0</f>
        <v>0</v>
      </c>
      <c r="T50" s="5">
        <f>0</f>
        <v>0</v>
      </c>
      <c r="U50" s="5">
        <f>0</f>
        <v>0</v>
      </c>
      <c r="V50" s="5">
        <f>0</f>
        <v>0</v>
      </c>
    </row>
    <row r="51" spans="1:22" ht="15" customHeight="1" x14ac:dyDescent="0.25">
      <c r="A51" s="5" t="s">
        <v>80</v>
      </c>
      <c r="B51" s="5" t="s">
        <v>34</v>
      </c>
      <c r="C51" s="5" t="s">
        <v>31</v>
      </c>
      <c r="D51" s="5"/>
      <c r="E51" s="5"/>
      <c r="F51" s="5"/>
      <c r="G51" s="5"/>
      <c r="H51" s="5">
        <f>0</f>
        <v>0</v>
      </c>
      <c r="I51" s="5">
        <f>0</f>
        <v>0</v>
      </c>
      <c r="J51" s="5">
        <f>0</f>
        <v>0</v>
      </c>
      <c r="K51" s="5">
        <f>0</f>
        <v>0</v>
      </c>
      <c r="L51" s="5">
        <f>0</f>
        <v>0</v>
      </c>
      <c r="M51" s="5">
        <f>0</f>
        <v>0</v>
      </c>
      <c r="N51" s="5">
        <f>0</f>
        <v>0</v>
      </c>
      <c r="O51" s="5">
        <f>0</f>
        <v>0</v>
      </c>
      <c r="P51" s="5">
        <f>0</f>
        <v>0</v>
      </c>
      <c r="Q51" s="5">
        <f>0</f>
        <v>0</v>
      </c>
      <c r="R51" s="5">
        <f>0</f>
        <v>0</v>
      </c>
      <c r="S51" s="5">
        <f>0</f>
        <v>0</v>
      </c>
      <c r="T51" s="5">
        <f>0</f>
        <v>0</v>
      </c>
      <c r="U51" s="5">
        <f>0</f>
        <v>0</v>
      </c>
      <c r="V51" s="5">
        <f>0</f>
        <v>0</v>
      </c>
    </row>
    <row r="52" spans="1:22" ht="15" customHeight="1" x14ac:dyDescent="0.25">
      <c r="A52" s="5" t="s">
        <v>80</v>
      </c>
      <c r="B52" s="5" t="s">
        <v>34</v>
      </c>
      <c r="C52" s="5" t="s">
        <v>32</v>
      </c>
      <c r="D52" s="5"/>
      <c r="E52" s="5"/>
      <c r="F52" s="5"/>
      <c r="G52" s="5"/>
      <c r="H52" s="5">
        <f>0</f>
        <v>0</v>
      </c>
      <c r="I52" s="5">
        <f>0</f>
        <v>0</v>
      </c>
      <c r="J52" s="5">
        <f>0</f>
        <v>0</v>
      </c>
      <c r="K52" s="5">
        <f>0</f>
        <v>0</v>
      </c>
      <c r="L52" s="5">
        <f>0</f>
        <v>0</v>
      </c>
      <c r="M52" s="5">
        <f>0</f>
        <v>0</v>
      </c>
      <c r="N52" s="5">
        <f>0</f>
        <v>0</v>
      </c>
      <c r="O52" s="5">
        <f>0</f>
        <v>0</v>
      </c>
      <c r="P52" s="5">
        <f>0</f>
        <v>0</v>
      </c>
      <c r="Q52" s="5">
        <f>0</f>
        <v>0</v>
      </c>
      <c r="R52" s="5">
        <f>0</f>
        <v>0</v>
      </c>
      <c r="S52" s="5">
        <f>0</f>
        <v>0</v>
      </c>
      <c r="T52" s="5">
        <f>0</f>
        <v>0</v>
      </c>
      <c r="U52" s="5">
        <f>0</f>
        <v>0</v>
      </c>
      <c r="V52" s="5">
        <f>0</f>
        <v>0</v>
      </c>
    </row>
  </sheetData>
  <printOptions gridLines="1"/>
  <pageMargins left="0.7" right="0.7" top="0.75" bottom="0.75" header="0.3" footer="0.3"/>
  <pageSetup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Alexis Valdes</cp:lastModifiedBy>
  <dcterms:created xsi:type="dcterms:W3CDTF">2019-08-26T13:46:56Z</dcterms:created>
  <dcterms:modified xsi:type="dcterms:W3CDTF">2019-08-26T13:59:47Z</dcterms:modified>
</cp:coreProperties>
</file>